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SR\Technical\"/>
    </mc:Choice>
  </mc:AlternateContent>
  <bookViews>
    <workbookView xWindow="0" yWindow="0" windowWidth="24240" windowHeight="12435" activeTab="1"/>
  </bookViews>
  <sheets>
    <sheet name="Irri. Data" sheetId="5" r:id="rId1"/>
    <sheet name="Result" sheetId="4" r:id="rId2"/>
  </sheets>
  <definedNames>
    <definedName name="_xlnm._FilterDatabase" localSheetId="0" hidden="1">'Irri. Data'!$B$8:$E$94</definedName>
    <definedName name="_xlnm._FilterDatabase" localSheetId="1" hidden="1">Result!#REF!</definedName>
  </definedNames>
  <calcPr calcId="152511"/>
</workbook>
</file>

<file path=xl/calcChain.xml><?xml version="1.0" encoding="utf-8"?>
<calcChain xmlns="http://schemas.openxmlformats.org/spreadsheetml/2006/main">
  <c r="B23" i="4" l="1"/>
  <c r="E28" i="5"/>
  <c r="B46" i="5"/>
  <c r="E38" i="4" l="1"/>
  <c r="E57" i="4" l="1"/>
  <c r="E58" i="4" s="1"/>
  <c r="E12" i="4" l="1"/>
  <c r="E13" i="4" l="1"/>
  <c r="E44" i="4" l="1"/>
  <c r="E45" i="4" s="1"/>
  <c r="E46" i="4" s="1"/>
  <c r="E35" i="4" l="1"/>
  <c r="E34" i="4"/>
  <c r="E20" i="4" l="1"/>
  <c r="E47" i="4" l="1"/>
  <c r="E48" i="4" l="1"/>
  <c r="E49" i="4" s="1"/>
  <c r="E67" i="4" l="1"/>
  <c r="E18" i="4" l="1"/>
  <c r="E50" i="4" l="1"/>
  <c r="E19" i="4"/>
  <c r="E59" i="4" l="1"/>
  <c r="E27" i="4"/>
  <c r="E28" i="4" s="1"/>
  <c r="E14" i="4"/>
  <c r="E15" i="4" s="1"/>
  <c r="E16" i="4" s="1"/>
  <c r="E10" i="4"/>
  <c r="B11" i="4"/>
  <c r="B12" i="4" s="1"/>
  <c r="B13" i="4" s="1"/>
  <c r="B14" i="4" s="1"/>
  <c r="B15" i="4" s="1"/>
  <c r="B16" i="4" s="1"/>
  <c r="E17" i="4" l="1"/>
  <c r="B17" i="4"/>
  <c r="B18" i="4" s="1"/>
  <c r="B20" i="4" s="1"/>
  <c r="B21" i="4" s="1"/>
  <c r="B22" i="4" s="1"/>
  <c r="B24" i="4" s="1"/>
  <c r="B25" i="4" s="1"/>
  <c r="B26" i="4" s="1"/>
  <c r="B27" i="4" s="1"/>
  <c r="E21" i="4"/>
  <c r="E22" i="4" s="1"/>
  <c r="E11" i="4"/>
  <c r="E23" i="4" l="1"/>
  <c r="B28" i="4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E24" i="4"/>
  <c r="B14" i="5"/>
  <c r="B15" i="5" l="1"/>
  <c r="B16" i="5" s="1"/>
  <c r="B17" i="5" s="1"/>
  <c r="B41" i="4"/>
  <c r="B42" i="4" s="1"/>
  <c r="B43" i="4" s="1"/>
  <c r="B44" i="4" s="1"/>
  <c r="B45" i="4" s="1"/>
  <c r="B46" i="4" s="1"/>
  <c r="E26" i="4"/>
  <c r="E25" i="4"/>
  <c r="E29" i="4"/>
  <c r="B18" i="5" l="1"/>
  <c r="B47" i="4"/>
  <c r="B48" i="4" s="1"/>
  <c r="B49" i="4" s="1"/>
  <c r="B50" i="4" s="1"/>
  <c r="B51" i="4" s="1"/>
  <c r="B52" i="4" s="1"/>
  <c r="B55" i="4" s="1"/>
  <c r="B56" i="4" s="1"/>
  <c r="B57" i="4" s="1"/>
  <c r="B58" i="4" s="1"/>
  <c r="B59" i="4" s="1"/>
  <c r="B62" i="4" s="1"/>
  <c r="B65" i="4" s="1"/>
  <c r="B66" i="4" s="1"/>
  <c r="B67" i="4" s="1"/>
  <c r="E30" i="4"/>
  <c r="E31" i="4"/>
  <c r="E32" i="4" s="1"/>
  <c r="B19" i="5" l="1"/>
  <c r="B20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40" i="5" s="1"/>
  <c r="B41" i="5" s="1"/>
  <c r="B42" i="5" s="1"/>
  <c r="B43" i="5" s="1"/>
  <c r="B44" i="5" s="1"/>
  <c r="B45" i="5" s="1"/>
  <c r="B47" i="5" s="1"/>
  <c r="E33" i="4"/>
  <c r="E36" i="4" s="1"/>
  <c r="E41" i="4"/>
  <c r="E37" i="4"/>
  <c r="B48" i="5" l="1"/>
  <c r="B49" i="5" s="1"/>
  <c r="B50" i="5" s="1"/>
  <c r="B51" i="5" s="1"/>
  <c r="B52" i="5" s="1"/>
  <c r="B53" i="5" s="1"/>
  <c r="B54" i="5" s="1"/>
  <c r="B56" i="5" s="1"/>
  <c r="B57" i="5" s="1"/>
  <c r="B58" i="5" s="1"/>
  <c r="B59" i="5" s="1"/>
  <c r="B60" i="5" s="1"/>
  <c r="B61" i="5" s="1"/>
  <c r="B62" i="5" s="1"/>
  <c r="B64" i="5" s="1"/>
  <c r="B65" i="5" s="1"/>
  <c r="B66" i="5" s="1"/>
  <c r="B67" i="5" s="1"/>
  <c r="E62" i="4"/>
  <c r="E80" i="4" s="1"/>
  <c r="E81" i="4" s="1"/>
  <c r="E82" i="4" s="1"/>
  <c r="E86" i="4"/>
  <c r="E87" i="4" s="1"/>
  <c r="E75" i="4"/>
  <c r="E76" i="4" l="1"/>
  <c r="B68" i="5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E43" i="4"/>
  <c r="E51" i="4" s="1"/>
  <c r="E52" i="4" s="1"/>
  <c r="E65" i="4" s="1"/>
  <c r="E55" i="4" l="1"/>
  <c r="B80" i="5" l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100" i="5" l="1"/>
  <c r="B101" i="5" s="1"/>
  <c r="B104" i="5" s="1"/>
  <c r="B108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</calcChain>
</file>

<file path=xl/sharedStrings.xml><?xml version="1.0" encoding="utf-8"?>
<sst xmlns="http://schemas.openxmlformats.org/spreadsheetml/2006/main" count="372" uniqueCount="276">
  <si>
    <t>Definition</t>
  </si>
  <si>
    <t>No.</t>
  </si>
  <si>
    <t>unit</t>
  </si>
  <si>
    <t>Area size for irrigation design</t>
  </si>
  <si>
    <t>m^2</t>
  </si>
  <si>
    <t>Max. Daily Consumption</t>
  </si>
  <si>
    <t>m^3/ha/day</t>
  </si>
  <si>
    <t>Hz</t>
  </si>
  <si>
    <t>V</t>
  </si>
  <si>
    <t>~</t>
  </si>
  <si>
    <t>Voltage: 220V or 380V etc.</t>
  </si>
  <si>
    <t>Frequency: 50 Hz or 60 Hz</t>
  </si>
  <si>
    <t>hr.</t>
  </si>
  <si>
    <t>m</t>
  </si>
  <si>
    <t>lit/hr.</t>
  </si>
  <si>
    <t>mm/hr.</t>
  </si>
  <si>
    <t>m^3//hr./ha</t>
  </si>
  <si>
    <t>lit/hr./m^2</t>
  </si>
  <si>
    <t>-</t>
  </si>
  <si>
    <t>mm</t>
  </si>
  <si>
    <t>m (w.h.c)</t>
  </si>
  <si>
    <t>Emitter-line wall thickness (Inch-system)</t>
  </si>
  <si>
    <t>Emitter-line wall thickness (Metric-system)</t>
  </si>
  <si>
    <t>milli-inch</t>
  </si>
  <si>
    <t>%</t>
  </si>
  <si>
    <t>m^3//hr.</t>
  </si>
  <si>
    <t>Pressure at G.L.</t>
  </si>
  <si>
    <t>bar</t>
  </si>
  <si>
    <t>R.P.M</t>
  </si>
  <si>
    <t>Application-rate</t>
  </si>
  <si>
    <t>Duration of (one) operation-shift:</t>
  </si>
  <si>
    <t>Design concept</t>
  </si>
  <si>
    <t>Amount of phase: Single-phase or Three-phase</t>
  </si>
  <si>
    <t xml:space="preserve">Existing transformer  </t>
  </si>
  <si>
    <t>KVA</t>
  </si>
  <si>
    <t xml:space="preserve">Distance between the transformer to the pump-station   </t>
  </si>
  <si>
    <t>Impeller size (diameter)</t>
  </si>
  <si>
    <t>Emitter application-rate</t>
  </si>
  <si>
    <t>Application-rate per hectare</t>
  </si>
  <si>
    <t>Amount of operations-shifts per day</t>
  </si>
  <si>
    <t>Duration of total operations-shifts per day</t>
  </si>
  <si>
    <t>Amount of pump-unit</t>
  </si>
  <si>
    <t>Suction pump-port flange size</t>
  </si>
  <si>
    <t>inch</t>
  </si>
  <si>
    <t>Pump type</t>
  </si>
  <si>
    <t>Centrifugal horizontal</t>
  </si>
  <si>
    <t>Pump sub-type</t>
  </si>
  <si>
    <t xml:space="preserve">Pump driven energy (Electric or Diesel Driven Engine) </t>
  </si>
  <si>
    <t>Delivery pump-port flange size</t>
  </si>
  <si>
    <t>Location</t>
  </si>
  <si>
    <t xml:space="preserve">Island </t>
  </si>
  <si>
    <t>Single-stage</t>
  </si>
  <si>
    <t xml:space="preserve">Pump efficiency </t>
  </si>
  <si>
    <t>Total pumping flow-rate</t>
  </si>
  <si>
    <t>Pump flow-rate</t>
  </si>
  <si>
    <t>Kw</t>
  </si>
  <si>
    <t>Pump revolution</t>
  </si>
  <si>
    <t>Pump Net-power</t>
  </si>
  <si>
    <t>Engine/Motor revolution</t>
  </si>
  <si>
    <t>Water-source, Vapor pressure (m)</t>
  </si>
  <si>
    <t>Water-source Temperature</t>
  </si>
  <si>
    <r>
      <t>C</t>
    </r>
    <r>
      <rPr>
        <sz val="12"/>
        <color indexed="8"/>
        <rFont val="Calibri"/>
        <family val="2"/>
      </rPr>
      <t>°</t>
    </r>
  </si>
  <si>
    <t>m (A.S.L)</t>
  </si>
  <si>
    <t>Safety-factor for NPSH calculation</t>
  </si>
  <si>
    <t xml:space="preserve">Transformer capacity requirement   </t>
  </si>
  <si>
    <t>Bed/Row spacing center to center:</t>
  </si>
  <si>
    <t>Lit/m^2/day</t>
  </si>
  <si>
    <t>Max. Daily consumption per hectare</t>
  </si>
  <si>
    <t>O.D. mm</t>
  </si>
  <si>
    <t>I.D. mm</t>
  </si>
  <si>
    <t>Pump TDH</t>
  </si>
  <si>
    <t>Pump &amp; Motor/Engine specification</t>
  </si>
  <si>
    <t>Crop-group</t>
  </si>
  <si>
    <t>Crop</t>
  </si>
  <si>
    <t>Available of irrigation-duration per day</t>
  </si>
  <si>
    <t>Kw/hr.</t>
  </si>
  <si>
    <t xml:space="preserve">Operation hours per season </t>
  </si>
  <si>
    <t>hr./season</t>
  </si>
  <si>
    <t>Yearly energy consumption</t>
  </si>
  <si>
    <t>Average row-spacing</t>
  </si>
  <si>
    <t>Average Emitter-area</t>
  </si>
  <si>
    <t>Irrigation Method: Drip-system on-surface, Sprinkler-system etc.,</t>
  </si>
  <si>
    <t>Planting-pattern: Single-row (1), Double-hedge-row (2), etc.,</t>
  </si>
  <si>
    <t>Water source type</t>
  </si>
  <si>
    <t>Water-source flow-rate at dry season:</t>
  </si>
  <si>
    <t>Water analysis: Laboratory test</t>
  </si>
  <si>
    <t>Has.</t>
  </si>
  <si>
    <t>mm/day</t>
  </si>
  <si>
    <t>Parameter/data</t>
  </si>
  <si>
    <t>Plant (hill) spacing on-row-line (m)</t>
  </si>
  <si>
    <t>Amount of mainline from the Pump station</t>
  </si>
  <si>
    <t>Automation</t>
  </si>
  <si>
    <t>Required automation system</t>
  </si>
  <si>
    <t>Automation type</t>
  </si>
  <si>
    <t>RadioNet</t>
  </si>
  <si>
    <t>Automation energy source</t>
  </si>
  <si>
    <t>Solar-panel 12V DC</t>
  </si>
  <si>
    <t>Operation system type</t>
  </si>
  <si>
    <t>~AC/DC</t>
  </si>
  <si>
    <t>DC</t>
  </si>
  <si>
    <t>Controller operation system voltage</t>
  </si>
  <si>
    <t>220V AC</t>
  </si>
  <si>
    <t>Solenoid operation system voltage (12V D.C. or 24V A.C.)</t>
  </si>
  <si>
    <t>12V DC</t>
  </si>
  <si>
    <t xml:space="preserve">Including Main-Filtration-control at the automation-system </t>
  </si>
  <si>
    <t>Yes/No</t>
  </si>
  <si>
    <t xml:space="preserve">Including Pump-control at the automation-system </t>
  </si>
  <si>
    <t>Others</t>
  </si>
  <si>
    <t>has.</t>
  </si>
  <si>
    <t>Amount of Infield-Valve</t>
  </si>
  <si>
    <t>Infield-Valve-size</t>
  </si>
  <si>
    <t>Average Shift flow-rate</t>
  </si>
  <si>
    <t>m/ha</t>
  </si>
  <si>
    <t>Emitter-line length per total area</t>
  </si>
  <si>
    <t>m/total-area</t>
  </si>
  <si>
    <t>Amount of emitters per total area</t>
  </si>
  <si>
    <t>Tree/Plant population per hectare</t>
  </si>
  <si>
    <t>EA</t>
  </si>
  <si>
    <t>Daily water-consumption E.T.</t>
  </si>
  <si>
    <t>Amount of End-line</t>
  </si>
  <si>
    <t>50m. (max.)</t>
  </si>
  <si>
    <t>Average size of irrigation block per Valve</t>
  </si>
  <si>
    <t>No</t>
  </si>
  <si>
    <t>Emitter-line inside-diameter for mm W.T.</t>
  </si>
  <si>
    <t>Emitter line spacing (average)</t>
  </si>
  <si>
    <t>Emitter-line inside-diameter for milli-inch W.T.</t>
  </si>
  <si>
    <t>Plant/ha.</t>
  </si>
  <si>
    <t>Emitter-line length per Hectare</t>
  </si>
  <si>
    <t>Irrigation results</t>
  </si>
  <si>
    <t>Water &amp; Energy source</t>
  </si>
  <si>
    <t>Shift/day</t>
  </si>
  <si>
    <t xml:space="preserve">Manually selecting </t>
  </si>
  <si>
    <t xml:space="preserve">Total head loss, from the Pump-foot-valve to the farthest/highest emitter </t>
  </si>
  <si>
    <t>days/season</t>
  </si>
  <si>
    <t>Result</t>
  </si>
  <si>
    <t>One answer prevail</t>
  </si>
  <si>
    <t>One option can be selected</t>
  </si>
  <si>
    <t>Allowance emitter-line-coil</t>
  </si>
  <si>
    <t>Amount of Start-connectors</t>
  </si>
  <si>
    <t>Amount of Barb-ring-connectors</t>
  </si>
  <si>
    <t>Maximum flow-rate per one pump-unit</t>
  </si>
  <si>
    <t>HP</t>
  </si>
  <si>
    <t>Amp.</t>
  </si>
  <si>
    <t>lit/Plant/day</t>
  </si>
  <si>
    <t>Average application-water per Tree/Plant per day</t>
  </si>
  <si>
    <t>Theoretically Tree/Plant Area</t>
  </si>
  <si>
    <t>Plant/m^2</t>
  </si>
  <si>
    <t xml:space="preserve">Tree/Plant population per sq. m. </t>
  </si>
  <si>
    <t>P.E.</t>
  </si>
  <si>
    <t>Emitter-line outside-diameter</t>
  </si>
  <si>
    <t>Pump suction-port elevation</t>
  </si>
  <si>
    <t xml:space="preserve">NPSH value </t>
  </si>
  <si>
    <t>4m. (max.)</t>
  </si>
  <si>
    <t xml:space="preserve">Suction-system head-loss: Foot-valve to the Pump-port-entrance </t>
  </si>
  <si>
    <t>Sea level reference</t>
  </si>
  <si>
    <t>Water-source elevation (min. water level at dry season)</t>
  </si>
  <si>
    <t>Pump-lifting-force (from min.-water-level to Pump-port-entrance)</t>
  </si>
  <si>
    <t>Available Electric-Motor in the market</t>
  </si>
  <si>
    <t>Sugarcane plantation</t>
  </si>
  <si>
    <t>Tropical plantation</t>
  </si>
  <si>
    <t>Drip sub-surface</t>
  </si>
  <si>
    <t>DripNet PC AS 16150</t>
  </si>
  <si>
    <t>Tropical River</t>
  </si>
  <si>
    <t>Electric</t>
  </si>
  <si>
    <t>Option-I: Irrigation-system operation cost, Electric-motor-Pump</t>
  </si>
  <si>
    <t>Option-II: Irrigation-system operation cost, Generator-set with Electric-motor-pump</t>
  </si>
  <si>
    <t>Yearly energy cost, Option-I</t>
  </si>
  <si>
    <t>Yearly energy cost, Option-III</t>
  </si>
  <si>
    <t>Yearly energy cost, Option-II</t>
  </si>
  <si>
    <t>I</t>
  </si>
  <si>
    <t>II</t>
  </si>
  <si>
    <t>III</t>
  </si>
  <si>
    <t xml:space="preserve">Please see the appropriate option below </t>
  </si>
  <si>
    <t>KVA/hr.</t>
  </si>
  <si>
    <t>Diesel Fuel Cost</t>
  </si>
  <si>
    <t>Transformer specification</t>
  </si>
  <si>
    <t>Electric Motor specification</t>
  </si>
  <si>
    <t>Irrigation Pump specification</t>
  </si>
  <si>
    <t>Electric Motor Net_power</t>
  </si>
  <si>
    <t>Electric Motor Power (imperial unit)</t>
  </si>
  <si>
    <t>Eletric Motor nominal-current (not at the motor start)</t>
  </si>
  <si>
    <t>Electric Motor power per hour</t>
  </si>
  <si>
    <t>Diesel Driven Engine Net_power</t>
  </si>
  <si>
    <t>Available Diesel Driven Engine in the market</t>
  </si>
  <si>
    <t>Pump Net-power (Imperial unit)</t>
  </si>
  <si>
    <t>Diesel Driven Engine specification (Imperial unit)</t>
  </si>
  <si>
    <t>Diesel Driven Engine power per hour</t>
  </si>
  <si>
    <t>HP/hr.</t>
  </si>
  <si>
    <t>Energy cost, Electric &amp; Diesel-fuel</t>
  </si>
  <si>
    <t>Generator-set with Electric-motor-pump operation</t>
  </si>
  <si>
    <t>Option-III: Irrigation-system operation cost, Diesel-driven-engine-pump (1450-1750 RPM)</t>
  </si>
  <si>
    <t>Diesel-driven-engine-pump operation (1450-1750 RPM)</t>
  </si>
  <si>
    <t>Water lifting (From min.-water-level to highest point to be irrigated)</t>
  </si>
  <si>
    <t>KVA/Season</t>
  </si>
  <si>
    <t>Yearly energy producing</t>
  </si>
  <si>
    <t>Kw/Season</t>
  </si>
  <si>
    <t>lit/Season</t>
  </si>
  <si>
    <t>Edit Tariff as needed</t>
  </si>
  <si>
    <t>Phase</t>
  </si>
  <si>
    <t>General data</t>
  </si>
  <si>
    <t xml:space="preserve">Farm/Project-name  </t>
  </si>
  <si>
    <t>Customer-name</t>
  </si>
  <si>
    <t>Auto Backwash Filtration Controller</t>
  </si>
  <si>
    <t xml:space="preserve">Auto backwash include at the irrigation controller </t>
  </si>
  <si>
    <t>Backwash controller energy source</t>
  </si>
  <si>
    <t xml:space="preserve">Including Fertigation-control at the automation-system </t>
  </si>
  <si>
    <t>Backwash controller operation system voltage</t>
  </si>
  <si>
    <t>Battery</t>
  </si>
  <si>
    <t>Backwash controller energy charger</t>
  </si>
  <si>
    <t>Amount of irrigation laterals per planting-row (0.5, 1, 2, etc.,)</t>
  </si>
  <si>
    <t xml:space="preserve">Average Emitter-line length (at irrigation block) </t>
  </si>
  <si>
    <t>days/week</t>
  </si>
  <si>
    <t>weeks/season</t>
  </si>
  <si>
    <t xml:space="preserve">Operation days per irrigation-season </t>
  </si>
  <si>
    <t>Irrigation-system operation, days per week</t>
  </si>
  <si>
    <t>Irrigation-season duration, weeks per season</t>
  </si>
  <si>
    <t>Irrigation interval, every _ day/s</t>
  </si>
  <si>
    <t>hr./day</t>
  </si>
  <si>
    <t>Diesel Driven Engine Efficiency</t>
  </si>
  <si>
    <t>Electric Motor Efficiency</t>
  </si>
  <si>
    <t>Emitter name</t>
  </si>
  <si>
    <t xml:space="preserve">Emitter line material </t>
  </si>
  <si>
    <t>Sprinkler front-nozzle diameter</t>
  </si>
  <si>
    <t>Sprinkler-rear nozzle diameter</t>
  </si>
  <si>
    <t>Sprinkler wetted diameter</t>
  </si>
  <si>
    <t>kPa</t>
  </si>
  <si>
    <t>Sea level (Absolute atmospheric pressure) kPa unit</t>
  </si>
  <si>
    <t>Atmospheric pressure corresponding to elevation at the water-source</t>
  </si>
  <si>
    <t>Emitter-operation-pressure (min. recommended)</t>
  </si>
  <si>
    <t>Emitter-operation-pressure (Max. recommended)</t>
  </si>
  <si>
    <t xml:space="preserve">Delivery-system head-loss: Pump-outlet to the farthest-emitter </t>
  </si>
  <si>
    <t>Pump port flange standard (ISO, BSTD, DIN, JIS, ASA etc.,)</t>
  </si>
  <si>
    <t>Sea level (Absolute atmospheric pressure) water-column-height in meter</t>
  </si>
  <si>
    <t>Highest point to be irrigated in elevation</t>
  </si>
  <si>
    <t>Energy-source: Electric, Diesel-fuel or other</t>
  </si>
  <si>
    <t>Compulsory data that link to the results "tab"</t>
  </si>
  <si>
    <t>Emitter-line pipe-class (PN)</t>
  </si>
  <si>
    <t>Mainline and Valve-line size O.D (Asia regent up to 12")</t>
  </si>
  <si>
    <t>Emitter Flow-rate</t>
  </si>
  <si>
    <t>Start Connector type: Single (1.0), Tee (0.5)</t>
  </si>
  <si>
    <t>Irrigation data form</t>
  </si>
  <si>
    <t>Fill-up form date</t>
  </si>
  <si>
    <t>HP/lit</t>
  </si>
  <si>
    <t>KVA/lit</t>
  </si>
  <si>
    <t>Electric-grid energy cost per hour</t>
  </si>
  <si>
    <t>Generator-set production coefficient: one liter of diesel fuel to KVA</t>
  </si>
  <si>
    <t>Diesel-driven-engine production coefficient: one liter of diesel-fuel to HP</t>
  </si>
  <si>
    <t>Person name (fill-up that form)</t>
  </si>
  <si>
    <t>Fix data</t>
  </si>
  <si>
    <t>Average emitter-spacing on-line</t>
  </si>
  <si>
    <t>Amount of emitter per Emitter-group (1, 2, 3, 4 etc.,)</t>
  </si>
  <si>
    <t>Emitter or Emitters-group (center to center) spacing on-line</t>
  </si>
  <si>
    <t>4"</t>
  </si>
  <si>
    <t>315-90</t>
  </si>
  <si>
    <t>Diesel</t>
  </si>
  <si>
    <t>Jarak antara tanaman</t>
  </si>
  <si>
    <t>Jarak antara row/ bedeng tanaman</t>
  </si>
  <si>
    <t>John Lin Batu Mandiri</t>
  </si>
  <si>
    <t>Bombana</t>
  </si>
  <si>
    <t>Province</t>
  </si>
  <si>
    <t xml:space="preserve">Sulawesi </t>
  </si>
  <si>
    <t>Sulawesi Tenggara</t>
  </si>
  <si>
    <t>dd/mm/yyyy</t>
  </si>
  <si>
    <t>Poerwantono</t>
  </si>
  <si>
    <t>Jumlah line dalam 1 lajur tanaman</t>
  </si>
  <si>
    <t>Lentari Jaya</t>
  </si>
  <si>
    <t>25/03/2018</t>
  </si>
  <si>
    <t>Trial Drip</t>
  </si>
  <si>
    <t>Model row/bedeng tanaman (1 = 1 lajur tanaman= single row, 2=2jalur tanaman=double row)</t>
  </si>
  <si>
    <t>Jarak antara titik emiter</t>
  </si>
  <si>
    <t>Jumlah emiter dalam 1 titik emiter</t>
  </si>
  <si>
    <t>Rata2 panjang lateral</t>
  </si>
  <si>
    <t>ISO</t>
  </si>
  <si>
    <t>Kw/hr._Rp</t>
  </si>
  <si>
    <t>lit/hr._Rp</t>
  </si>
  <si>
    <t>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</si>
</sst>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0"/>
    <numFmt numFmtId="168" formatCode="#,##0.0"/>
    <numFmt numFmtId="169" formatCode="0_ ;\-0\ "/>
    <numFmt numFmtId="170" formatCode="#,##0.0000"/>
    <numFmt numFmtId="171" formatCode="[$-409]mmmm\ d\,\ yyyy;@"/>
  </numFmts>
  <fonts count="16" x14ac:knownFonts="1">
    <font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66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9" tint="-0.499984740745262"/>
      <name val="Arial Narrow"/>
      <family val="2"/>
    </font>
    <font>
      <b/>
      <sz val="18"/>
      <color rgb="FF00B050"/>
      <name val="Arial Narrow"/>
      <family val="2"/>
    </font>
    <font>
      <b/>
      <sz val="12"/>
      <color rgb="FF0070C0"/>
      <name val="Arial Narrow"/>
      <family val="2"/>
    </font>
    <font>
      <sz val="12"/>
      <color rgb="FF00B050"/>
      <name val="Arial Narrow"/>
      <family val="2"/>
    </font>
    <font>
      <b/>
      <sz val="12"/>
      <color rgb="FF00B050"/>
      <name val="Arial Narrow"/>
      <family val="2"/>
    </font>
    <font>
      <sz val="12"/>
      <color rgb="FF0070C0"/>
      <name val="Arial Narrow"/>
      <family val="2"/>
    </font>
    <font>
      <b/>
      <sz val="14"/>
      <color rgb="FF00B050"/>
      <name val="Arial Narrow"/>
      <family val="2"/>
    </font>
    <font>
      <b/>
      <sz val="12"/>
      <color theme="0" tint="-0.3499862666707357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3F5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" xfId="0" applyFont="1" applyFill="1" applyBorder="1" applyAlignment="1">
      <alignment horizontal="left" readingOrder="1"/>
    </xf>
    <xf numFmtId="0" fontId="0" fillId="0" borderId="1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" fontId="7" fillId="5" borderId="1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readingOrder="1"/>
    </xf>
    <xf numFmtId="0" fontId="7" fillId="0" borderId="0" xfId="0" applyFont="1"/>
    <xf numFmtId="0" fontId="12" fillId="0" borderId="0" xfId="0" applyFont="1"/>
    <xf numFmtId="0" fontId="11" fillId="0" borderId="0" xfId="0" applyFont="1"/>
    <xf numFmtId="0" fontId="0" fillId="0" borderId="3" xfId="0" applyFont="1" applyFill="1" applyBorder="1" applyAlignment="1">
      <alignment horizontal="left" readingOrder="1"/>
    </xf>
    <xf numFmtId="0" fontId="0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readingOrder="1"/>
    </xf>
    <xf numFmtId="0" fontId="2" fillId="0" borderId="3" xfId="0" applyFont="1" applyFill="1" applyBorder="1" applyAlignment="1">
      <alignment horizontal="center"/>
    </xf>
    <xf numFmtId="168" fontId="1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readingOrder="1"/>
    </xf>
    <xf numFmtId="0" fontId="13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170" fontId="10" fillId="0" borderId="1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/>
    </xf>
    <xf numFmtId="169" fontId="10" fillId="0" borderId="1" xfId="2" applyNumberFormat="1" applyFont="1" applyFill="1" applyBorder="1" applyAlignment="1" applyProtection="1">
      <alignment horizontal="center"/>
    </xf>
    <xf numFmtId="0" fontId="13" fillId="0" borderId="3" xfId="0" applyFont="1" applyFill="1" applyBorder="1" applyAlignment="1">
      <alignment horizontal="left" readingOrder="1"/>
    </xf>
    <xf numFmtId="0" fontId="13" fillId="0" borderId="3" xfId="0" applyFont="1" applyFill="1" applyBorder="1" applyAlignment="1">
      <alignment horizontal="center"/>
    </xf>
    <xf numFmtId="168" fontId="10" fillId="0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readingOrder="1"/>
    </xf>
    <xf numFmtId="3" fontId="10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3" fontId="10" fillId="0" borderId="13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readingOrder="1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readingOrder="1"/>
    </xf>
    <xf numFmtId="167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readingOrder="1"/>
    </xf>
    <xf numFmtId="0" fontId="13" fillId="2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 readingOrder="1"/>
    </xf>
    <xf numFmtId="0" fontId="13" fillId="5" borderId="1" xfId="0" applyFont="1" applyFill="1" applyBorder="1" applyAlignment="1">
      <alignment horizontal="center"/>
    </xf>
    <xf numFmtId="168" fontId="10" fillId="5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4" fontId="10" fillId="2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readingOrder="1"/>
    </xf>
    <xf numFmtId="0" fontId="11" fillId="0" borderId="1" xfId="0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0" fontId="12" fillId="0" borderId="0" xfId="0" applyFont="1" applyAlignment="1"/>
    <xf numFmtId="0" fontId="0" fillId="0" borderId="21" xfId="0" applyFont="1" applyBorder="1"/>
    <xf numFmtId="0" fontId="13" fillId="0" borderId="22" xfId="0" applyFont="1" applyFill="1" applyBorder="1" applyAlignment="1">
      <alignment horizontal="left" wrapText="1"/>
    </xf>
    <xf numFmtId="0" fontId="7" fillId="5" borderId="23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2" fillId="0" borderId="21" xfId="0" applyFont="1" applyBorder="1"/>
    <xf numFmtId="0" fontId="13" fillId="0" borderId="0" xfId="0" applyFont="1" applyFill="1" applyBorder="1" applyAlignment="1">
      <alignment horizontal="left" readingOrder="1"/>
    </xf>
    <xf numFmtId="0" fontId="13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readingOrder="1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readingOrder="1"/>
    </xf>
    <xf numFmtId="1" fontId="10" fillId="0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readingOrder="1"/>
    </xf>
    <xf numFmtId="3" fontId="10" fillId="0" borderId="2" xfId="0" applyNumberFormat="1" applyFont="1" applyFill="1" applyBorder="1" applyAlignment="1">
      <alignment horizontal="center" readingOrder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/>
    <xf numFmtId="0" fontId="13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167" fontId="15" fillId="0" borderId="2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8" fontId="1" fillId="8" borderId="2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3" fontId="1" fillId="8" borderId="2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4" fontId="1" fillId="8" borderId="3" xfId="0" applyNumberFormat="1" applyFont="1" applyFill="1" applyBorder="1" applyAlignment="1">
      <alignment horizontal="center"/>
    </xf>
    <xf numFmtId="170" fontId="10" fillId="0" borderId="2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168" fontId="1" fillId="10" borderId="2" xfId="0" applyNumberFormat="1" applyFont="1" applyFill="1" applyBorder="1" applyAlignment="1">
      <alignment horizontal="center"/>
    </xf>
    <xf numFmtId="167" fontId="1" fillId="10" borderId="2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wrapText="1"/>
    </xf>
    <xf numFmtId="0" fontId="0" fillId="9" borderId="22" xfId="0" applyFont="1" applyFill="1" applyBorder="1" applyAlignment="1">
      <alignment horizontal="center" wrapText="1"/>
    </xf>
    <xf numFmtId="0" fontId="0" fillId="9" borderId="20" xfId="0" applyFont="1" applyFill="1" applyBorder="1" applyAlignment="1">
      <alignment horizontal="center" wrapText="1"/>
    </xf>
    <xf numFmtId="0" fontId="0" fillId="9" borderId="25" xfId="0" applyFont="1" applyFill="1" applyBorder="1" applyAlignment="1">
      <alignment horizontal="center" wrapText="1"/>
    </xf>
    <xf numFmtId="0" fontId="0" fillId="9" borderId="27" xfId="0" applyFont="1" applyFill="1" applyBorder="1" applyAlignment="1">
      <alignment horizontal="center" wrapText="1"/>
    </xf>
    <xf numFmtId="0" fontId="0" fillId="9" borderId="2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 readingOrder="1"/>
    </xf>
    <xf numFmtId="0" fontId="5" fillId="3" borderId="5" xfId="0" applyFont="1" applyFill="1" applyBorder="1" applyAlignment="1">
      <alignment horizontal="center" wrapText="1" readingOrder="1"/>
    </xf>
    <xf numFmtId="0" fontId="5" fillId="3" borderId="6" xfId="0" applyFont="1" applyFill="1" applyBorder="1" applyAlignment="1">
      <alignment horizontal="center" wrapText="1" readingOrder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wrapText="1"/>
    </xf>
    <xf numFmtId="0" fontId="0" fillId="9" borderId="29" xfId="0" applyFont="1" applyFill="1" applyBorder="1" applyAlignment="1">
      <alignment horizontal="center" wrapText="1"/>
    </xf>
    <xf numFmtId="0" fontId="0" fillId="9" borderId="0" xfId="0" applyFont="1" applyFill="1" applyBorder="1" applyAlignment="1">
      <alignment horizontal="center" wrapText="1"/>
    </xf>
    <xf numFmtId="0" fontId="0" fillId="9" borderId="30" xfId="0" applyFont="1" applyFill="1" applyBorder="1" applyAlignment="1">
      <alignment horizont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165" fontId="0" fillId="0" borderId="0" xfId="1" applyFont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colors>
    <mruColors>
      <color rgb="FF33CCCC"/>
      <color rgb="FFEDEBDF"/>
      <color rgb="FFFFFFCC"/>
      <color rgb="FFFFFF00"/>
      <color rgb="FFFF6600"/>
      <color rgb="FF0070C0"/>
      <color rgb="FF0066FF"/>
      <color rgb="FFD3F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2</xdr:row>
      <xdr:rowOff>98093</xdr:rowOff>
    </xdr:from>
    <xdr:to>
      <xdr:col>2</xdr:col>
      <xdr:colOff>1495425</xdr:colOff>
      <xdr:row>4</xdr:row>
      <xdr:rowOff>49427</xdr:rowOff>
    </xdr:to>
    <xdr:pic>
      <xdr:nvPicPr>
        <xdr:cNvPr id="7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593393"/>
          <a:ext cx="1685924" cy="44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98093</xdr:rowOff>
    </xdr:from>
    <xdr:to>
      <xdr:col>2</xdr:col>
      <xdr:colOff>1495425</xdr:colOff>
      <xdr:row>3</xdr:row>
      <xdr:rowOff>49427</xdr:rowOff>
    </xdr:to>
    <xdr:pic>
      <xdr:nvPicPr>
        <xdr:cNvPr id="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593393"/>
          <a:ext cx="1685924" cy="44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2:K120"/>
  <sheetViews>
    <sheetView topLeftCell="A40" zoomScaleNormal="100" workbookViewId="0">
      <selection activeCell="E52" sqref="E52"/>
    </sheetView>
  </sheetViews>
  <sheetFormatPr defaultColWidth="8.85546875" defaultRowHeight="20.100000000000001" customHeight="1" x14ac:dyDescent="0.25"/>
  <cols>
    <col min="1" max="1" width="4.85546875" style="1" customWidth="1"/>
    <col min="2" max="2" width="4.85546875" style="2" customWidth="1"/>
    <col min="3" max="3" width="62.7109375" style="1" customWidth="1"/>
    <col min="4" max="4" width="14.7109375" style="2" customWidth="1"/>
    <col min="5" max="5" width="22.7109375" style="2" customWidth="1"/>
    <col min="6" max="6" width="16.7109375" style="1" customWidth="1"/>
    <col min="7" max="7" width="14.7109375" style="1" customWidth="1"/>
    <col min="8" max="11" width="14.7109375" style="2" customWidth="1"/>
    <col min="12" max="46" width="14.7109375" style="1" customWidth="1"/>
    <col min="47" max="48" width="12.7109375" style="1" customWidth="1"/>
    <col min="49" max="16384" width="8.85546875" style="1"/>
  </cols>
  <sheetData>
    <row r="2" spans="2:11" ht="20.100000000000001" customHeight="1" x14ac:dyDescent="0.25">
      <c r="E2" s="5"/>
    </row>
    <row r="3" spans="2:11" ht="20.100000000000001" customHeight="1" x14ac:dyDescent="0.25">
      <c r="B3" s="151"/>
      <c r="C3" s="152"/>
      <c r="E3" s="163" t="s">
        <v>235</v>
      </c>
    </row>
    <row r="4" spans="2:11" ht="20.100000000000001" customHeight="1" x14ac:dyDescent="0.25">
      <c r="B4" s="153"/>
      <c r="C4" s="154"/>
      <c r="E4" s="164"/>
    </row>
    <row r="5" spans="2:11" ht="20.100000000000001" customHeight="1" x14ac:dyDescent="0.25">
      <c r="B5" s="155"/>
      <c r="C5" s="156"/>
      <c r="E5" s="131" t="s">
        <v>248</v>
      </c>
    </row>
    <row r="6" spans="2:11" ht="20.100000000000001" customHeight="1" x14ac:dyDescent="0.25">
      <c r="B6" s="132"/>
      <c r="C6" s="132"/>
      <c r="E6" s="129" t="s">
        <v>199</v>
      </c>
    </row>
    <row r="7" spans="2:11" ht="20.100000000000001" customHeight="1" thickBot="1" x14ac:dyDescent="0.3"/>
    <row r="8" spans="2:11" ht="20.100000000000001" customHeight="1" x14ac:dyDescent="0.25">
      <c r="B8" s="139" t="s">
        <v>240</v>
      </c>
      <c r="C8" s="140"/>
      <c r="D8" s="140"/>
      <c r="E8" s="141"/>
      <c r="F8" s="8"/>
      <c r="G8" s="5"/>
      <c r="H8" s="8"/>
      <c r="I8" s="8"/>
      <c r="J8" s="7"/>
      <c r="K8" s="7"/>
    </row>
    <row r="9" spans="2:11" ht="20.100000000000001" customHeight="1" thickBot="1" x14ac:dyDescent="0.3">
      <c r="B9" s="142"/>
      <c r="C9" s="143"/>
      <c r="D9" s="143"/>
      <c r="E9" s="144"/>
      <c r="F9" s="11"/>
      <c r="G9" s="5"/>
      <c r="H9" s="8"/>
      <c r="I9" s="8"/>
      <c r="J9" s="7"/>
      <c r="K9" s="7"/>
    </row>
    <row r="10" spans="2:11" ht="20.100000000000001" customHeight="1" x14ac:dyDescent="0.25">
      <c r="B10" s="145" t="s">
        <v>1</v>
      </c>
      <c r="C10" s="147" t="s">
        <v>0</v>
      </c>
      <c r="D10" s="145" t="s">
        <v>2</v>
      </c>
      <c r="E10" s="149" t="s">
        <v>88</v>
      </c>
      <c r="F10" s="5"/>
      <c r="G10" s="5"/>
      <c r="H10" s="8"/>
      <c r="I10" s="8"/>
      <c r="J10" s="7"/>
      <c r="K10" s="7"/>
    </row>
    <row r="11" spans="2:11" ht="20.100000000000001" customHeight="1" thickBot="1" x14ac:dyDescent="0.3">
      <c r="B11" s="146"/>
      <c r="C11" s="148"/>
      <c r="D11" s="146"/>
      <c r="E11" s="150"/>
      <c r="F11" s="5"/>
      <c r="G11" s="5"/>
      <c r="H11" s="8"/>
      <c r="I11" s="8"/>
      <c r="J11" s="7"/>
      <c r="K11" s="7"/>
    </row>
    <row r="12" spans="2:11" ht="20.100000000000001" customHeight="1" thickBot="1" x14ac:dyDescent="0.3">
      <c r="B12" s="136" t="s">
        <v>199</v>
      </c>
      <c r="C12" s="137"/>
      <c r="D12" s="137"/>
      <c r="E12" s="138"/>
      <c r="F12" s="5"/>
      <c r="G12" s="5"/>
      <c r="H12" s="8"/>
      <c r="I12" s="8"/>
      <c r="J12" s="7"/>
      <c r="K12" s="7"/>
    </row>
    <row r="13" spans="2:11" ht="20.100000000000001" customHeight="1" x14ac:dyDescent="0.25">
      <c r="B13" s="3">
        <v>1</v>
      </c>
      <c r="C13" s="55" t="s">
        <v>201</v>
      </c>
      <c r="D13" s="56"/>
      <c r="E13" s="62" t="s">
        <v>257</v>
      </c>
      <c r="F13" s="5"/>
      <c r="G13" s="5"/>
      <c r="H13" s="8"/>
      <c r="I13" s="8"/>
      <c r="J13" s="7"/>
      <c r="K13" s="7"/>
    </row>
    <row r="14" spans="2:11" ht="20.100000000000001" customHeight="1" x14ac:dyDescent="0.25">
      <c r="B14" s="10">
        <f t="shared" ref="B14:B20" si="0">B13+1</f>
        <v>2</v>
      </c>
      <c r="C14" s="17" t="s">
        <v>200</v>
      </c>
      <c r="D14" s="14"/>
      <c r="E14" s="57" t="s">
        <v>265</v>
      </c>
      <c r="F14" s="5"/>
      <c r="G14" s="5"/>
      <c r="H14" s="8"/>
      <c r="I14" s="8"/>
      <c r="J14" s="7"/>
      <c r="K14" s="7"/>
    </row>
    <row r="15" spans="2:11" ht="20.100000000000001" customHeight="1" x14ac:dyDescent="0.25">
      <c r="B15" s="10">
        <f t="shared" si="0"/>
        <v>3</v>
      </c>
      <c r="C15" s="17" t="s">
        <v>198</v>
      </c>
      <c r="D15" s="14"/>
      <c r="E15" s="57" t="s">
        <v>267</v>
      </c>
      <c r="F15" s="5"/>
      <c r="G15" s="5"/>
      <c r="H15" s="8"/>
      <c r="I15" s="8"/>
      <c r="J15" s="7"/>
      <c r="K15" s="7"/>
    </row>
    <row r="16" spans="2:11" ht="20.100000000000001" customHeight="1" x14ac:dyDescent="0.25">
      <c r="B16" s="10">
        <f t="shared" si="0"/>
        <v>4</v>
      </c>
      <c r="C16" s="13" t="s">
        <v>49</v>
      </c>
      <c r="D16" s="14"/>
      <c r="E16" s="27" t="s">
        <v>258</v>
      </c>
      <c r="F16" s="5"/>
      <c r="G16" s="5"/>
      <c r="H16" s="8"/>
      <c r="I16" s="8"/>
      <c r="J16" s="7"/>
      <c r="K16" s="7"/>
    </row>
    <row r="17" spans="2:11" ht="20.100000000000001" customHeight="1" x14ac:dyDescent="0.25">
      <c r="B17" s="10">
        <f t="shared" si="0"/>
        <v>5</v>
      </c>
      <c r="C17" s="13" t="s">
        <v>50</v>
      </c>
      <c r="D17" s="14"/>
      <c r="E17" s="24" t="s">
        <v>260</v>
      </c>
      <c r="F17" s="5"/>
      <c r="G17" s="5"/>
      <c r="H17" s="8"/>
      <c r="I17" s="8"/>
      <c r="J17" s="7"/>
      <c r="K17" s="7"/>
    </row>
    <row r="18" spans="2:11" ht="20.100000000000001" customHeight="1" x14ac:dyDescent="0.25">
      <c r="B18" s="10">
        <f t="shared" si="0"/>
        <v>6</v>
      </c>
      <c r="C18" s="21" t="s">
        <v>259</v>
      </c>
      <c r="D18" s="22"/>
      <c r="E18" s="58" t="s">
        <v>261</v>
      </c>
      <c r="F18" s="5"/>
      <c r="G18" s="5"/>
      <c r="H18" s="8"/>
      <c r="I18" s="8"/>
      <c r="J18" s="7"/>
      <c r="K18" s="7"/>
    </row>
    <row r="19" spans="2:11" ht="20.100000000000001" customHeight="1" x14ac:dyDescent="0.25">
      <c r="B19" s="10">
        <f t="shared" si="0"/>
        <v>7</v>
      </c>
      <c r="C19" s="21" t="s">
        <v>247</v>
      </c>
      <c r="D19" s="22"/>
      <c r="E19" s="58" t="s">
        <v>263</v>
      </c>
      <c r="F19" s="5"/>
      <c r="G19" s="5"/>
      <c r="H19" s="8"/>
      <c r="I19" s="8"/>
      <c r="J19" s="7"/>
      <c r="K19" s="7"/>
    </row>
    <row r="20" spans="2:11" ht="20.100000000000001" customHeight="1" thickBot="1" x14ac:dyDescent="0.3">
      <c r="B20" s="10">
        <f t="shared" si="0"/>
        <v>8</v>
      </c>
      <c r="C20" s="21" t="s">
        <v>241</v>
      </c>
      <c r="D20" s="22" t="s">
        <v>262</v>
      </c>
      <c r="E20" s="130" t="s">
        <v>266</v>
      </c>
      <c r="F20" s="4"/>
      <c r="G20" s="4"/>
      <c r="H20" s="7"/>
      <c r="I20" s="7"/>
      <c r="J20" s="7"/>
      <c r="K20" s="7"/>
    </row>
    <row r="21" spans="2:11" ht="20.100000000000001" customHeight="1" thickBot="1" x14ac:dyDescent="0.3">
      <c r="B21" s="136" t="s">
        <v>31</v>
      </c>
      <c r="C21" s="137"/>
      <c r="D21" s="137"/>
      <c r="E21" s="138"/>
      <c r="F21" s="4"/>
      <c r="G21" s="4"/>
      <c r="H21" s="7"/>
      <c r="I21" s="7"/>
      <c r="J21" s="7"/>
      <c r="K21" s="7"/>
    </row>
    <row r="22" spans="2:11" ht="20.100000000000001" customHeight="1" x14ac:dyDescent="0.25">
      <c r="B22" s="3">
        <f>B20+1</f>
        <v>9</v>
      </c>
      <c r="C22" s="59" t="s">
        <v>72</v>
      </c>
      <c r="D22" s="56"/>
      <c r="E22" s="57" t="s">
        <v>159</v>
      </c>
      <c r="F22" s="7"/>
      <c r="G22" s="7"/>
      <c r="H22" s="7"/>
      <c r="I22" s="7"/>
      <c r="J22" s="7"/>
      <c r="K22" s="7"/>
    </row>
    <row r="23" spans="2:11" ht="20.100000000000001" customHeight="1" x14ac:dyDescent="0.25">
      <c r="B23" s="10">
        <f t="shared" ref="B23:B37" si="1">B22+1</f>
        <v>10</v>
      </c>
      <c r="C23" s="17" t="s">
        <v>73</v>
      </c>
      <c r="D23" s="14"/>
      <c r="E23" s="57" t="s">
        <v>158</v>
      </c>
      <c r="F23" s="7"/>
      <c r="G23" s="7"/>
      <c r="H23" s="7"/>
      <c r="I23" s="7"/>
      <c r="J23" s="7"/>
      <c r="K23" s="7"/>
    </row>
    <row r="24" spans="2:11" ht="20.100000000000001" customHeight="1" x14ac:dyDescent="0.25">
      <c r="B24" s="10">
        <f t="shared" si="1"/>
        <v>11</v>
      </c>
      <c r="C24" s="17" t="s">
        <v>3</v>
      </c>
      <c r="D24" s="23" t="s">
        <v>86</v>
      </c>
      <c r="E24" s="119">
        <v>211</v>
      </c>
      <c r="F24" s="7"/>
      <c r="G24" s="7"/>
      <c r="H24" s="7"/>
      <c r="I24" s="7"/>
      <c r="J24" s="7"/>
      <c r="K24" s="7"/>
    </row>
    <row r="25" spans="2:11" ht="20.100000000000001" customHeight="1" x14ac:dyDescent="0.25">
      <c r="B25" s="10">
        <f t="shared" si="1"/>
        <v>12</v>
      </c>
      <c r="C25" s="17" t="s">
        <v>118</v>
      </c>
      <c r="D25" s="23" t="s">
        <v>87</v>
      </c>
      <c r="E25" s="119">
        <v>4.4000000000000004</v>
      </c>
      <c r="F25" s="4"/>
      <c r="G25" s="4"/>
      <c r="H25" s="7"/>
      <c r="I25" s="7"/>
      <c r="J25" s="7"/>
      <c r="K25" s="7"/>
    </row>
    <row r="26" spans="2:11" ht="20.100000000000001" customHeight="1" x14ac:dyDescent="0.25">
      <c r="B26" s="10">
        <f t="shared" si="1"/>
        <v>13</v>
      </c>
      <c r="C26" s="13" t="s">
        <v>74</v>
      </c>
      <c r="D26" s="14" t="s">
        <v>12</v>
      </c>
      <c r="E26" s="120">
        <v>19</v>
      </c>
      <c r="F26" s="4"/>
      <c r="G26" s="4"/>
      <c r="H26" s="7"/>
      <c r="I26" s="7"/>
      <c r="J26" s="7"/>
      <c r="K26" s="7"/>
    </row>
    <row r="27" spans="2:11" ht="20.100000000000001" customHeight="1" x14ac:dyDescent="0.25">
      <c r="B27" s="10">
        <f t="shared" si="1"/>
        <v>14</v>
      </c>
      <c r="C27" s="63" t="s">
        <v>214</v>
      </c>
      <c r="D27" s="14" t="s">
        <v>211</v>
      </c>
      <c r="E27" s="121">
        <v>7</v>
      </c>
      <c r="F27" s="4"/>
      <c r="G27" s="4"/>
      <c r="H27" s="7"/>
      <c r="I27" s="7"/>
      <c r="J27" s="7"/>
      <c r="K27" s="7"/>
    </row>
    <row r="28" spans="2:11" ht="20.100000000000001" customHeight="1" x14ac:dyDescent="0.25">
      <c r="B28" s="10">
        <f t="shared" si="1"/>
        <v>15</v>
      </c>
      <c r="C28" s="63" t="s">
        <v>215</v>
      </c>
      <c r="D28" s="14" t="s">
        <v>212</v>
      </c>
      <c r="E28" s="121">
        <f>7*4</f>
        <v>28</v>
      </c>
      <c r="F28" s="4"/>
      <c r="G28" s="4"/>
      <c r="H28" s="7"/>
      <c r="I28" s="7"/>
      <c r="J28" s="7"/>
      <c r="K28" s="7"/>
    </row>
    <row r="29" spans="2:11" ht="20.100000000000001" customHeight="1" x14ac:dyDescent="0.25">
      <c r="B29" s="10">
        <f t="shared" si="1"/>
        <v>16</v>
      </c>
      <c r="C29" s="13" t="s">
        <v>82</v>
      </c>
      <c r="D29" s="14" t="s">
        <v>117</v>
      </c>
      <c r="E29" s="118">
        <v>2</v>
      </c>
      <c r="F29" s="4" t="s">
        <v>268</v>
      </c>
      <c r="G29" s="4"/>
      <c r="H29" s="7"/>
      <c r="I29" s="7"/>
      <c r="J29" s="7"/>
      <c r="K29" s="7"/>
    </row>
    <row r="30" spans="2:11" ht="20.100000000000001" customHeight="1" x14ac:dyDescent="0.25">
      <c r="B30" s="10">
        <f t="shared" si="1"/>
        <v>17</v>
      </c>
      <c r="C30" s="13" t="s">
        <v>65</v>
      </c>
      <c r="D30" s="14" t="s">
        <v>13</v>
      </c>
      <c r="E30" s="122">
        <v>2.2000000000000002</v>
      </c>
      <c r="F30" s="1" t="s">
        <v>256</v>
      </c>
    </row>
    <row r="31" spans="2:11" ht="20.100000000000001" customHeight="1" x14ac:dyDescent="0.25">
      <c r="B31" s="10">
        <f t="shared" si="1"/>
        <v>18</v>
      </c>
      <c r="C31" s="13" t="s">
        <v>89</v>
      </c>
      <c r="D31" s="14" t="s">
        <v>13</v>
      </c>
      <c r="E31" s="122">
        <v>0.15</v>
      </c>
      <c r="F31" s="1" t="s">
        <v>255</v>
      </c>
    </row>
    <row r="32" spans="2:11" ht="20.100000000000001" customHeight="1" x14ac:dyDescent="0.25">
      <c r="B32" s="10">
        <f t="shared" si="1"/>
        <v>19</v>
      </c>
      <c r="C32" s="13" t="s">
        <v>209</v>
      </c>
      <c r="D32" s="14" t="s">
        <v>117</v>
      </c>
      <c r="E32" s="118">
        <v>0.5</v>
      </c>
      <c r="F32" s="1" t="s">
        <v>264</v>
      </c>
    </row>
    <row r="33" spans="2:7" ht="20.100000000000001" customHeight="1" x14ac:dyDescent="0.25">
      <c r="B33" s="10">
        <f t="shared" si="1"/>
        <v>20</v>
      </c>
      <c r="C33" s="13" t="s">
        <v>81</v>
      </c>
      <c r="D33" s="14"/>
      <c r="E33" s="26" t="s">
        <v>160</v>
      </c>
    </row>
    <row r="34" spans="2:7" ht="20.100000000000001" customHeight="1" x14ac:dyDescent="0.25">
      <c r="B34" s="10">
        <f t="shared" si="1"/>
        <v>21</v>
      </c>
      <c r="C34" s="13" t="s">
        <v>220</v>
      </c>
      <c r="D34" s="14"/>
      <c r="E34" s="26" t="s">
        <v>161</v>
      </c>
    </row>
    <row r="35" spans="2:7" ht="20.100000000000001" customHeight="1" x14ac:dyDescent="0.25">
      <c r="B35" s="10">
        <f t="shared" si="1"/>
        <v>22</v>
      </c>
      <c r="C35" s="13" t="s">
        <v>221</v>
      </c>
      <c r="D35" s="14"/>
      <c r="E35" s="26" t="s">
        <v>148</v>
      </c>
    </row>
    <row r="36" spans="2:7" ht="20.100000000000001" customHeight="1" x14ac:dyDescent="0.25">
      <c r="B36" s="10">
        <f t="shared" si="1"/>
        <v>23</v>
      </c>
      <c r="C36" s="13" t="s">
        <v>149</v>
      </c>
      <c r="D36" s="14" t="s">
        <v>68</v>
      </c>
      <c r="E36" s="27">
        <v>16</v>
      </c>
    </row>
    <row r="37" spans="2:7" ht="20.100000000000001" customHeight="1" x14ac:dyDescent="0.25">
      <c r="B37" s="10">
        <f t="shared" si="1"/>
        <v>24</v>
      </c>
      <c r="C37" s="13" t="s">
        <v>236</v>
      </c>
      <c r="D37" s="14" t="s">
        <v>27</v>
      </c>
      <c r="E37" s="27">
        <v>2</v>
      </c>
    </row>
    <row r="38" spans="2:7" s="2" customFormat="1" ht="20.100000000000001" customHeight="1" x14ac:dyDescent="0.25">
      <c r="B38" s="10">
        <f>B37+1</f>
        <v>25</v>
      </c>
      <c r="C38" s="13" t="s">
        <v>21</v>
      </c>
      <c r="D38" s="75" t="s">
        <v>23</v>
      </c>
      <c r="E38" s="123">
        <v>15</v>
      </c>
      <c r="F38" s="135" t="s">
        <v>136</v>
      </c>
      <c r="G38" s="69"/>
    </row>
    <row r="39" spans="2:7" s="2" customFormat="1" ht="20.100000000000001" customHeight="1" x14ac:dyDescent="0.25">
      <c r="B39" s="10">
        <v>20.100000000000001</v>
      </c>
      <c r="C39" s="17" t="s">
        <v>22</v>
      </c>
      <c r="D39" s="75" t="s">
        <v>19</v>
      </c>
      <c r="E39" s="124" t="s">
        <v>18</v>
      </c>
      <c r="F39" s="135"/>
      <c r="G39" s="69"/>
    </row>
    <row r="40" spans="2:7" s="2" customFormat="1" ht="20.100000000000001" customHeight="1" x14ac:dyDescent="0.25">
      <c r="B40" s="10">
        <f>B38+1</f>
        <v>26</v>
      </c>
      <c r="C40" s="13" t="s">
        <v>222</v>
      </c>
      <c r="D40" s="14" t="s">
        <v>19</v>
      </c>
      <c r="E40" s="26" t="s">
        <v>18</v>
      </c>
      <c r="F40" s="1"/>
      <c r="G40" s="1"/>
    </row>
    <row r="41" spans="2:7" s="2" customFormat="1" ht="20.100000000000001" customHeight="1" x14ac:dyDescent="0.25">
      <c r="B41" s="10">
        <f t="shared" ref="B41:B54" si="2">B40+1</f>
        <v>27</v>
      </c>
      <c r="C41" s="13" t="s">
        <v>223</v>
      </c>
      <c r="D41" s="14" t="s">
        <v>19</v>
      </c>
      <c r="E41" s="26" t="s">
        <v>18</v>
      </c>
      <c r="F41" s="1"/>
      <c r="G41" s="1"/>
    </row>
    <row r="42" spans="2:7" s="2" customFormat="1" ht="20.100000000000001" customHeight="1" x14ac:dyDescent="0.25">
      <c r="B42" s="10">
        <f t="shared" si="2"/>
        <v>28</v>
      </c>
      <c r="C42" s="13" t="s">
        <v>224</v>
      </c>
      <c r="D42" s="14" t="s">
        <v>13</v>
      </c>
      <c r="E42" s="28" t="s">
        <v>18</v>
      </c>
      <c r="F42" s="1"/>
      <c r="G42" s="1"/>
    </row>
    <row r="43" spans="2:7" s="2" customFormat="1" ht="20.100000000000001" customHeight="1" x14ac:dyDescent="0.25">
      <c r="B43" s="10">
        <f t="shared" si="2"/>
        <v>29</v>
      </c>
      <c r="C43" s="13" t="s">
        <v>229</v>
      </c>
      <c r="D43" s="14" t="s">
        <v>20</v>
      </c>
      <c r="E43" s="25">
        <v>25</v>
      </c>
      <c r="F43" s="1"/>
      <c r="G43" s="1"/>
    </row>
    <row r="44" spans="2:7" s="2" customFormat="1" ht="20.100000000000001" customHeight="1" x14ac:dyDescent="0.25">
      <c r="B44" s="10">
        <f t="shared" si="2"/>
        <v>30</v>
      </c>
      <c r="C44" s="13" t="s">
        <v>228</v>
      </c>
      <c r="D44" s="14" t="s">
        <v>20</v>
      </c>
      <c r="E44" s="123">
        <v>0.8</v>
      </c>
      <c r="F44" s="1"/>
      <c r="G44" s="1"/>
    </row>
    <row r="45" spans="2:7" s="2" customFormat="1" ht="20.100000000000001" customHeight="1" x14ac:dyDescent="0.25">
      <c r="B45" s="10">
        <f t="shared" si="2"/>
        <v>31</v>
      </c>
      <c r="C45" s="13" t="s">
        <v>238</v>
      </c>
      <c r="D45" s="14" t="s">
        <v>14</v>
      </c>
      <c r="E45" s="124">
        <v>1.6</v>
      </c>
      <c r="F45" s="1"/>
      <c r="G45" s="1"/>
    </row>
    <row r="46" spans="2:7" s="2" customFormat="1" ht="20.100000000000001" customHeight="1" x14ac:dyDescent="0.25">
      <c r="B46" s="10">
        <f>B45+1</f>
        <v>32</v>
      </c>
      <c r="C46" s="13" t="s">
        <v>137</v>
      </c>
      <c r="D46" s="14" t="s">
        <v>117</v>
      </c>
      <c r="E46" s="123">
        <v>2</v>
      </c>
      <c r="F46" s="1"/>
      <c r="G46" s="1"/>
    </row>
    <row r="47" spans="2:7" s="2" customFormat="1" ht="20.100000000000001" customHeight="1" x14ac:dyDescent="0.25">
      <c r="B47" s="10">
        <f t="shared" si="2"/>
        <v>33</v>
      </c>
      <c r="C47" s="13" t="s">
        <v>251</v>
      </c>
      <c r="D47" s="14" t="s">
        <v>13</v>
      </c>
      <c r="E47" s="124">
        <v>0.5</v>
      </c>
      <c r="F47" s="1" t="s">
        <v>269</v>
      </c>
      <c r="G47" s="1"/>
    </row>
    <row r="48" spans="2:7" s="2" customFormat="1" ht="20.100000000000001" customHeight="1" x14ac:dyDescent="0.25">
      <c r="B48" s="10">
        <f t="shared" si="2"/>
        <v>34</v>
      </c>
      <c r="C48" s="13" t="s">
        <v>250</v>
      </c>
      <c r="D48" s="14" t="s">
        <v>117</v>
      </c>
      <c r="E48" s="118">
        <v>1</v>
      </c>
      <c r="F48" s="1" t="s">
        <v>270</v>
      </c>
      <c r="G48" s="1"/>
    </row>
    <row r="49" spans="2:7" s="2" customFormat="1" ht="20.100000000000001" customHeight="1" x14ac:dyDescent="0.25">
      <c r="B49" s="10">
        <f t="shared" si="2"/>
        <v>35</v>
      </c>
      <c r="C49" s="13" t="s">
        <v>210</v>
      </c>
      <c r="D49" s="14" t="s">
        <v>13</v>
      </c>
      <c r="E49" s="124">
        <v>140</v>
      </c>
      <c r="F49" s="1" t="s">
        <v>271</v>
      </c>
      <c r="G49" s="1"/>
    </row>
    <row r="50" spans="2:7" s="2" customFormat="1" ht="20.100000000000001" customHeight="1" x14ac:dyDescent="0.25">
      <c r="B50" s="10">
        <f t="shared" si="2"/>
        <v>36</v>
      </c>
      <c r="C50" s="13" t="s">
        <v>239</v>
      </c>
      <c r="D50" s="23" t="s">
        <v>117</v>
      </c>
      <c r="E50" s="117">
        <v>1</v>
      </c>
      <c r="F50" s="1"/>
      <c r="G50" s="1"/>
    </row>
    <row r="51" spans="2:7" s="2" customFormat="1" ht="20.100000000000001" customHeight="1" x14ac:dyDescent="0.25">
      <c r="B51" s="10">
        <f t="shared" si="2"/>
        <v>37</v>
      </c>
      <c r="C51" s="21" t="s">
        <v>110</v>
      </c>
      <c r="D51" s="22" t="s">
        <v>43</v>
      </c>
      <c r="E51" s="31" t="s">
        <v>252</v>
      </c>
      <c r="F51" s="1"/>
      <c r="G51" s="1"/>
    </row>
    <row r="52" spans="2:7" s="2" customFormat="1" ht="20.100000000000001" customHeight="1" x14ac:dyDescent="0.25">
      <c r="B52" s="10">
        <f t="shared" si="2"/>
        <v>38</v>
      </c>
      <c r="C52" s="21" t="s">
        <v>121</v>
      </c>
      <c r="D52" s="22" t="s">
        <v>108</v>
      </c>
      <c r="E52" s="125">
        <v>8</v>
      </c>
      <c r="F52" s="1"/>
      <c r="G52" s="1"/>
    </row>
    <row r="53" spans="2:7" s="2" customFormat="1" ht="20.100000000000001" customHeight="1" x14ac:dyDescent="0.25">
      <c r="B53" s="10">
        <f t="shared" si="2"/>
        <v>39</v>
      </c>
      <c r="C53" s="29" t="s">
        <v>237</v>
      </c>
      <c r="D53" s="30" t="s">
        <v>19</v>
      </c>
      <c r="E53" s="31" t="s">
        <v>253</v>
      </c>
      <c r="F53" s="1"/>
      <c r="G53" s="1"/>
    </row>
    <row r="54" spans="2:7" s="2" customFormat="1" ht="20.100000000000001" customHeight="1" thickBot="1" x14ac:dyDescent="0.3">
      <c r="B54" s="10">
        <f t="shared" si="2"/>
        <v>40</v>
      </c>
      <c r="C54" s="29" t="s">
        <v>90</v>
      </c>
      <c r="D54" s="30"/>
      <c r="E54" s="32">
        <v>1</v>
      </c>
      <c r="F54" s="1"/>
      <c r="G54" s="1"/>
    </row>
    <row r="55" spans="2:7" s="2" customFormat="1" ht="20.100000000000001" customHeight="1" thickBot="1" x14ac:dyDescent="0.3">
      <c r="B55" s="157" t="s">
        <v>202</v>
      </c>
      <c r="C55" s="158"/>
      <c r="D55" s="158"/>
      <c r="E55" s="159"/>
      <c r="F55" s="1"/>
      <c r="G55" s="1"/>
    </row>
    <row r="56" spans="2:7" s="2" customFormat="1" ht="20.100000000000001" customHeight="1" x14ac:dyDescent="0.25">
      <c r="B56" s="3">
        <f>B54+1</f>
        <v>41</v>
      </c>
      <c r="C56" s="55" t="s">
        <v>203</v>
      </c>
      <c r="D56" s="14" t="s">
        <v>105</v>
      </c>
      <c r="E56" s="60" t="s">
        <v>122</v>
      </c>
      <c r="F56" s="1"/>
      <c r="G56" s="1"/>
    </row>
    <row r="57" spans="2:7" s="2" customFormat="1" ht="20.100000000000001" customHeight="1" x14ac:dyDescent="0.25">
      <c r="B57" s="3">
        <f>B56+1</f>
        <v>42</v>
      </c>
      <c r="C57" s="13" t="s">
        <v>97</v>
      </c>
      <c r="D57" s="14" t="s">
        <v>98</v>
      </c>
      <c r="E57" s="24" t="s">
        <v>99</v>
      </c>
      <c r="F57" s="1"/>
      <c r="G57" s="1"/>
    </row>
    <row r="58" spans="2:7" s="2" customFormat="1" ht="20.100000000000001" customHeight="1" x14ac:dyDescent="0.25">
      <c r="B58" s="3">
        <f t="shared" ref="B58:B62" si="3">B57+1</f>
        <v>43</v>
      </c>
      <c r="C58" s="13" t="s">
        <v>206</v>
      </c>
      <c r="D58" s="14" t="s">
        <v>8</v>
      </c>
      <c r="E58" s="24" t="s">
        <v>103</v>
      </c>
      <c r="F58" s="1"/>
      <c r="G58" s="1"/>
    </row>
    <row r="59" spans="2:7" s="2" customFormat="1" ht="20.100000000000001" customHeight="1" x14ac:dyDescent="0.25">
      <c r="B59" s="3">
        <f t="shared" si="3"/>
        <v>44</v>
      </c>
      <c r="C59" s="13" t="s">
        <v>204</v>
      </c>
      <c r="D59" s="14" t="s">
        <v>8</v>
      </c>
      <c r="E59" s="26" t="s">
        <v>207</v>
      </c>
      <c r="F59" s="1"/>
      <c r="G59" s="1"/>
    </row>
    <row r="60" spans="2:7" s="2" customFormat="1" ht="20.100000000000001" customHeight="1" x14ac:dyDescent="0.25">
      <c r="B60" s="3">
        <f t="shared" si="3"/>
        <v>45</v>
      </c>
      <c r="C60" s="13" t="s">
        <v>208</v>
      </c>
      <c r="D60" s="14" t="s">
        <v>8</v>
      </c>
      <c r="E60" s="26" t="s">
        <v>96</v>
      </c>
      <c r="F60" s="1"/>
      <c r="G60" s="1"/>
    </row>
    <row r="61" spans="2:7" s="2" customFormat="1" ht="20.100000000000001" customHeight="1" x14ac:dyDescent="0.25">
      <c r="B61" s="3">
        <f t="shared" si="3"/>
        <v>46</v>
      </c>
      <c r="C61" s="13" t="s">
        <v>102</v>
      </c>
      <c r="D61" s="14" t="s">
        <v>8</v>
      </c>
      <c r="E61" s="24" t="s">
        <v>103</v>
      </c>
      <c r="F61" s="1"/>
      <c r="G61" s="1"/>
    </row>
    <row r="62" spans="2:7" s="2" customFormat="1" ht="20.100000000000001" customHeight="1" thickBot="1" x14ac:dyDescent="0.3">
      <c r="B62" s="3">
        <f t="shared" si="3"/>
        <v>47</v>
      </c>
      <c r="C62" s="13" t="s">
        <v>107</v>
      </c>
      <c r="D62" s="14"/>
      <c r="E62" s="24"/>
      <c r="F62" s="1"/>
      <c r="G62" s="1"/>
    </row>
    <row r="63" spans="2:7" s="2" customFormat="1" ht="20.100000000000001" customHeight="1" thickBot="1" x14ac:dyDescent="0.3">
      <c r="B63" s="160" t="s">
        <v>129</v>
      </c>
      <c r="C63" s="161"/>
      <c r="D63" s="161"/>
      <c r="E63" s="162"/>
      <c r="F63" s="1"/>
      <c r="G63" s="1"/>
    </row>
    <row r="64" spans="2:7" s="2" customFormat="1" ht="20.100000000000001" customHeight="1" x14ac:dyDescent="0.25">
      <c r="B64" s="3">
        <f>B62+1</f>
        <v>48</v>
      </c>
      <c r="C64" s="55" t="s">
        <v>83</v>
      </c>
      <c r="D64" s="56"/>
      <c r="E64" s="61" t="s">
        <v>162</v>
      </c>
      <c r="F64" s="1"/>
      <c r="G64" s="1"/>
    </row>
    <row r="65" spans="2:7" s="2" customFormat="1" ht="20.100000000000001" customHeight="1" x14ac:dyDescent="0.25">
      <c r="B65" s="10">
        <f>B64+1</f>
        <v>49</v>
      </c>
      <c r="C65" s="13" t="s">
        <v>84</v>
      </c>
      <c r="D65" s="14"/>
      <c r="E65" s="25" t="s">
        <v>18</v>
      </c>
      <c r="F65" s="1"/>
      <c r="G65" s="1"/>
    </row>
    <row r="66" spans="2:7" s="2" customFormat="1" ht="20.100000000000001" customHeight="1" x14ac:dyDescent="0.25">
      <c r="B66" s="10">
        <f>B65+1</f>
        <v>50</v>
      </c>
      <c r="C66" s="13" t="s">
        <v>85</v>
      </c>
      <c r="D66" s="14"/>
      <c r="E66" s="25" t="s">
        <v>18</v>
      </c>
      <c r="F66" s="1"/>
      <c r="G66" s="1"/>
    </row>
    <row r="67" spans="2:7" s="2" customFormat="1" ht="20.100000000000001" customHeight="1" x14ac:dyDescent="0.25">
      <c r="B67" s="10">
        <f t="shared" ref="B67:B78" si="4">B66+1</f>
        <v>51</v>
      </c>
      <c r="C67" s="55" t="s">
        <v>60</v>
      </c>
      <c r="D67" s="14" t="s">
        <v>61</v>
      </c>
      <c r="E67" s="133">
        <v>22</v>
      </c>
      <c r="F67" s="1"/>
      <c r="G67" s="1"/>
    </row>
    <row r="68" spans="2:7" s="2" customFormat="1" ht="20.100000000000001" customHeight="1" x14ac:dyDescent="0.25">
      <c r="B68" s="10">
        <f t="shared" si="4"/>
        <v>52</v>
      </c>
      <c r="C68" s="55" t="s">
        <v>59</v>
      </c>
      <c r="D68" s="14" t="s">
        <v>20</v>
      </c>
      <c r="E68" s="133">
        <v>0.3</v>
      </c>
      <c r="F68" s="1"/>
      <c r="G68" s="1"/>
    </row>
    <row r="69" spans="2:7" s="2" customFormat="1" ht="20.100000000000001" customHeight="1" x14ac:dyDescent="0.25">
      <c r="B69" s="10">
        <f t="shared" si="4"/>
        <v>53</v>
      </c>
      <c r="C69" s="55" t="s">
        <v>226</v>
      </c>
      <c r="D69" s="14" t="s">
        <v>225</v>
      </c>
      <c r="E69" s="134">
        <v>101.325</v>
      </c>
      <c r="F69" s="1"/>
      <c r="G69" s="1"/>
    </row>
    <row r="70" spans="2:7" s="2" customFormat="1" ht="20.100000000000001" customHeight="1" x14ac:dyDescent="0.25">
      <c r="B70" s="10">
        <f t="shared" si="4"/>
        <v>54</v>
      </c>
      <c r="C70" s="55" t="s">
        <v>155</v>
      </c>
      <c r="D70" s="14" t="s">
        <v>62</v>
      </c>
      <c r="E70" s="116">
        <v>40</v>
      </c>
      <c r="F70" s="18" t="s">
        <v>154</v>
      </c>
      <c r="G70" s="1"/>
    </row>
    <row r="71" spans="2:7" s="2" customFormat="1" ht="20.100000000000001" customHeight="1" x14ac:dyDescent="0.25">
      <c r="B71" s="10">
        <f t="shared" si="4"/>
        <v>55</v>
      </c>
      <c r="C71" s="55" t="s">
        <v>150</v>
      </c>
      <c r="D71" s="14" t="s">
        <v>62</v>
      </c>
      <c r="E71" s="116">
        <v>44</v>
      </c>
      <c r="F71" s="18" t="s">
        <v>154</v>
      </c>
      <c r="G71" s="1"/>
    </row>
    <row r="72" spans="2:7" s="2" customFormat="1" ht="20.100000000000001" customHeight="1" x14ac:dyDescent="0.25">
      <c r="B72" s="10">
        <f t="shared" si="4"/>
        <v>56</v>
      </c>
      <c r="C72" s="17" t="s">
        <v>233</v>
      </c>
      <c r="D72" s="14" t="s">
        <v>62</v>
      </c>
      <c r="E72" s="117">
        <v>55</v>
      </c>
      <c r="F72" s="18" t="s">
        <v>154</v>
      </c>
      <c r="G72" s="1"/>
    </row>
    <row r="73" spans="2:7" s="2" customFormat="1" ht="20.100000000000001" customHeight="1" x14ac:dyDescent="0.25">
      <c r="B73" s="10">
        <f t="shared" si="4"/>
        <v>57</v>
      </c>
      <c r="C73" s="13" t="s">
        <v>234</v>
      </c>
      <c r="D73" s="14"/>
      <c r="E73" s="25" t="s">
        <v>254</v>
      </c>
      <c r="F73" s="1"/>
      <c r="G73" s="1"/>
    </row>
    <row r="74" spans="2:7" s="2" customFormat="1" ht="20.100000000000001" customHeight="1" x14ac:dyDescent="0.25">
      <c r="B74" s="10">
        <f t="shared" si="4"/>
        <v>58</v>
      </c>
      <c r="C74" s="13" t="s">
        <v>11</v>
      </c>
      <c r="D74" s="14" t="s">
        <v>7</v>
      </c>
      <c r="E74" s="25">
        <v>50</v>
      </c>
      <c r="F74" s="1"/>
      <c r="G74" s="1"/>
    </row>
    <row r="75" spans="2:7" s="2" customFormat="1" ht="20.100000000000001" customHeight="1" x14ac:dyDescent="0.25">
      <c r="B75" s="10">
        <f t="shared" si="4"/>
        <v>59</v>
      </c>
      <c r="C75" s="13" t="s">
        <v>32</v>
      </c>
      <c r="D75" s="14" t="s">
        <v>9</v>
      </c>
      <c r="E75" s="25">
        <v>3</v>
      </c>
      <c r="F75" s="1"/>
      <c r="G75" s="1"/>
    </row>
    <row r="76" spans="2:7" s="2" customFormat="1" ht="20.100000000000001" customHeight="1" x14ac:dyDescent="0.25">
      <c r="B76" s="10">
        <f t="shared" si="4"/>
        <v>60</v>
      </c>
      <c r="C76" s="13" t="s">
        <v>10</v>
      </c>
      <c r="D76" s="14" t="s">
        <v>8</v>
      </c>
      <c r="E76" s="25">
        <v>380</v>
      </c>
      <c r="F76" s="1"/>
      <c r="G76" s="1"/>
    </row>
    <row r="77" spans="2:7" ht="20.100000000000001" customHeight="1" x14ac:dyDescent="0.25">
      <c r="B77" s="10">
        <f t="shared" si="4"/>
        <v>61</v>
      </c>
      <c r="C77" s="21" t="s">
        <v>33</v>
      </c>
      <c r="D77" s="30" t="s">
        <v>34</v>
      </c>
      <c r="E77" s="32">
        <v>0</v>
      </c>
    </row>
    <row r="78" spans="2:7" ht="20.100000000000001" customHeight="1" thickBot="1" x14ac:dyDescent="0.3">
      <c r="B78" s="10">
        <f t="shared" si="4"/>
        <v>62</v>
      </c>
      <c r="C78" s="21" t="s">
        <v>35</v>
      </c>
      <c r="D78" s="22" t="s">
        <v>13</v>
      </c>
      <c r="E78" s="32">
        <v>30</v>
      </c>
      <c r="F78" s="18" t="s">
        <v>120</v>
      </c>
    </row>
    <row r="79" spans="2:7" ht="20.100000000000001" customHeight="1" thickBot="1" x14ac:dyDescent="0.3">
      <c r="B79" s="157" t="s">
        <v>71</v>
      </c>
      <c r="C79" s="158"/>
      <c r="D79" s="158"/>
      <c r="E79" s="159"/>
    </row>
    <row r="80" spans="2:7" ht="20.100000000000001" customHeight="1" x14ac:dyDescent="0.25">
      <c r="B80" s="3">
        <f>B78+1</f>
        <v>63</v>
      </c>
      <c r="C80" s="55" t="s">
        <v>44</v>
      </c>
      <c r="D80" s="56"/>
      <c r="E80" s="62" t="s">
        <v>45</v>
      </c>
    </row>
    <row r="81" spans="2:6" ht="20.100000000000001" customHeight="1" x14ac:dyDescent="0.25">
      <c r="B81" s="3">
        <f>B80+1</f>
        <v>64</v>
      </c>
      <c r="C81" s="55" t="s">
        <v>46</v>
      </c>
      <c r="D81" s="14"/>
      <c r="E81" s="61" t="s">
        <v>51</v>
      </c>
    </row>
    <row r="82" spans="2:6" ht="20.100000000000001" customHeight="1" x14ac:dyDescent="0.25">
      <c r="B82" s="3">
        <f>B81+1</f>
        <v>65</v>
      </c>
      <c r="C82" s="55" t="s">
        <v>47</v>
      </c>
      <c r="D82" s="14"/>
      <c r="E82" s="61" t="s">
        <v>163</v>
      </c>
    </row>
    <row r="83" spans="2:6" ht="20.100000000000001" customHeight="1" x14ac:dyDescent="0.25">
      <c r="B83" s="3">
        <f t="shared" ref="B83:B96" si="5">B82+1</f>
        <v>66</v>
      </c>
      <c r="C83" s="55" t="s">
        <v>153</v>
      </c>
      <c r="D83" s="14" t="s">
        <v>20</v>
      </c>
      <c r="E83" s="133">
        <v>0.8</v>
      </c>
    </row>
    <row r="84" spans="2:6" ht="20.100000000000001" customHeight="1" x14ac:dyDescent="0.25">
      <c r="B84" s="3">
        <f t="shared" si="5"/>
        <v>67</v>
      </c>
      <c r="C84" s="55" t="s">
        <v>230</v>
      </c>
      <c r="D84" s="14" t="s">
        <v>20</v>
      </c>
      <c r="E84" s="116">
        <v>42</v>
      </c>
    </row>
    <row r="85" spans="2:6" ht="20.100000000000001" customHeight="1" x14ac:dyDescent="0.25">
      <c r="B85" s="3">
        <f t="shared" si="5"/>
        <v>68</v>
      </c>
      <c r="C85" s="13" t="s">
        <v>63</v>
      </c>
      <c r="D85" s="14" t="s">
        <v>20</v>
      </c>
      <c r="E85" s="133">
        <v>1</v>
      </c>
    </row>
    <row r="86" spans="2:6" ht="20.100000000000001" customHeight="1" x14ac:dyDescent="0.25">
      <c r="B86" s="3">
        <f t="shared" si="5"/>
        <v>69</v>
      </c>
      <c r="C86" s="17" t="s">
        <v>151</v>
      </c>
      <c r="D86" s="23" t="s">
        <v>20</v>
      </c>
      <c r="E86" s="116">
        <v>3.7</v>
      </c>
      <c r="F86" s="18" t="s">
        <v>152</v>
      </c>
    </row>
    <row r="87" spans="2:6" ht="20.100000000000001" customHeight="1" x14ac:dyDescent="0.25">
      <c r="B87" s="3">
        <f t="shared" si="5"/>
        <v>70</v>
      </c>
      <c r="C87" s="55" t="s">
        <v>56</v>
      </c>
      <c r="D87" s="14" t="s">
        <v>28</v>
      </c>
      <c r="E87" s="24">
        <v>1450</v>
      </c>
    </row>
    <row r="88" spans="2:6" ht="20.100000000000001" customHeight="1" x14ac:dyDescent="0.25">
      <c r="B88" s="3">
        <f t="shared" si="5"/>
        <v>71</v>
      </c>
      <c r="C88" s="21" t="s">
        <v>36</v>
      </c>
      <c r="D88" s="22" t="s">
        <v>19</v>
      </c>
      <c r="E88" s="58" t="s">
        <v>18</v>
      </c>
    </row>
    <row r="89" spans="2:6" ht="20.100000000000001" customHeight="1" x14ac:dyDescent="0.25">
      <c r="B89" s="3">
        <f t="shared" si="5"/>
        <v>72</v>
      </c>
      <c r="C89" s="21" t="s">
        <v>231</v>
      </c>
      <c r="D89" s="22"/>
      <c r="E89" s="58" t="s">
        <v>272</v>
      </c>
    </row>
    <row r="90" spans="2:6" ht="20.100000000000001" customHeight="1" x14ac:dyDescent="0.25">
      <c r="B90" s="3">
        <f t="shared" si="5"/>
        <v>73</v>
      </c>
      <c r="C90" s="21" t="s">
        <v>42</v>
      </c>
      <c r="D90" s="22" t="s">
        <v>43</v>
      </c>
      <c r="E90" s="58">
        <v>6</v>
      </c>
    </row>
    <row r="91" spans="2:6" ht="20.100000000000001" customHeight="1" x14ac:dyDescent="0.25">
      <c r="B91" s="3">
        <f t="shared" si="5"/>
        <v>74</v>
      </c>
      <c r="C91" s="21" t="s">
        <v>48</v>
      </c>
      <c r="D91" s="22" t="s">
        <v>43</v>
      </c>
      <c r="E91" s="58">
        <v>5</v>
      </c>
    </row>
    <row r="92" spans="2:6" ht="20.100000000000001" customHeight="1" x14ac:dyDescent="0.25">
      <c r="B92" s="3">
        <f t="shared" si="5"/>
        <v>75</v>
      </c>
      <c r="C92" s="21" t="s">
        <v>140</v>
      </c>
      <c r="D92" s="14" t="s">
        <v>25</v>
      </c>
      <c r="E92" s="127">
        <v>250</v>
      </c>
      <c r="F92" s="18"/>
    </row>
    <row r="93" spans="2:6" ht="20.100000000000001" customHeight="1" x14ac:dyDescent="0.25">
      <c r="B93" s="3">
        <f t="shared" si="5"/>
        <v>76</v>
      </c>
      <c r="C93" s="13" t="s">
        <v>52</v>
      </c>
      <c r="D93" s="14" t="s">
        <v>24</v>
      </c>
      <c r="E93" s="118">
        <v>79</v>
      </c>
    </row>
    <row r="94" spans="2:6" ht="20.100000000000001" customHeight="1" x14ac:dyDescent="0.25">
      <c r="B94" s="3">
        <f t="shared" si="5"/>
        <v>77</v>
      </c>
      <c r="C94" s="55" t="s">
        <v>219</v>
      </c>
      <c r="D94" s="14" t="s">
        <v>24</v>
      </c>
      <c r="E94" s="128">
        <v>83</v>
      </c>
    </row>
    <row r="95" spans="2:6" ht="20.100000000000001" customHeight="1" x14ac:dyDescent="0.25">
      <c r="B95" s="3">
        <f t="shared" si="5"/>
        <v>78</v>
      </c>
      <c r="C95" s="55" t="s">
        <v>218</v>
      </c>
      <c r="D95" s="14" t="s">
        <v>24</v>
      </c>
      <c r="E95" s="128">
        <v>67</v>
      </c>
    </row>
    <row r="96" spans="2:6" ht="20.100000000000001" customHeight="1" x14ac:dyDescent="0.25">
      <c r="B96" s="3">
        <f t="shared" si="5"/>
        <v>79</v>
      </c>
      <c r="C96" s="55" t="s">
        <v>58</v>
      </c>
      <c r="D96" s="14" t="s">
        <v>28</v>
      </c>
      <c r="E96" s="57">
        <v>1450</v>
      </c>
    </row>
    <row r="97" spans="2:11" ht="20.100000000000001" customHeight="1" x14ac:dyDescent="0.25">
      <c r="B97" s="81"/>
      <c r="C97" s="104"/>
      <c r="D97" s="82"/>
      <c r="E97" s="87"/>
    </row>
    <row r="98" spans="2:11" s="83" customFormat="1" ht="20.100000000000001" customHeight="1" thickBot="1" x14ac:dyDescent="0.3">
      <c r="B98" s="82"/>
      <c r="C98" s="104"/>
      <c r="D98" s="82"/>
      <c r="E98" s="87"/>
      <c r="H98" s="84"/>
      <c r="I98" s="84"/>
      <c r="J98" s="84"/>
      <c r="K98" s="84"/>
    </row>
    <row r="99" spans="2:11" ht="20.100000000000001" customHeight="1" thickBot="1" x14ac:dyDescent="0.3">
      <c r="B99" s="157" t="s">
        <v>188</v>
      </c>
      <c r="C99" s="158"/>
      <c r="D99" s="158"/>
      <c r="E99" s="159"/>
    </row>
    <row r="100" spans="2:11" ht="20.100000000000001" customHeight="1" x14ac:dyDescent="0.25">
      <c r="B100" s="10">
        <f>B96+1</f>
        <v>80</v>
      </c>
      <c r="C100" s="108" t="s">
        <v>244</v>
      </c>
      <c r="D100" s="14" t="s">
        <v>273</v>
      </c>
      <c r="E100" s="124">
        <v>1250</v>
      </c>
      <c r="F100" s="18" t="s">
        <v>197</v>
      </c>
    </row>
    <row r="101" spans="2:11" ht="20.100000000000001" customHeight="1" x14ac:dyDescent="0.25">
      <c r="B101" s="10">
        <f>B100+1</f>
        <v>81</v>
      </c>
      <c r="C101" s="109" t="s">
        <v>174</v>
      </c>
      <c r="D101" s="10" t="s">
        <v>274</v>
      </c>
      <c r="E101" s="118">
        <v>9000</v>
      </c>
      <c r="F101" s="18" t="s">
        <v>197</v>
      </c>
    </row>
    <row r="102" spans="2:11" ht="20.100000000000001" customHeight="1" thickBot="1" x14ac:dyDescent="0.3"/>
    <row r="103" spans="2:11" ht="20.100000000000001" customHeight="1" thickBot="1" x14ac:dyDescent="0.3">
      <c r="B103" s="157" t="s">
        <v>189</v>
      </c>
      <c r="C103" s="158"/>
      <c r="D103" s="158"/>
      <c r="E103" s="159"/>
    </row>
    <row r="104" spans="2:11" ht="20.100000000000001" customHeight="1" x14ac:dyDescent="0.25">
      <c r="B104" s="10">
        <f>B101+1</f>
        <v>82</v>
      </c>
      <c r="C104" s="78" t="s">
        <v>245</v>
      </c>
      <c r="D104" s="10" t="s">
        <v>243</v>
      </c>
      <c r="E104" s="24">
        <v>5</v>
      </c>
    </row>
    <row r="105" spans="2:11" ht="20.100000000000001" customHeight="1" x14ac:dyDescent="0.25">
      <c r="B105" s="85"/>
      <c r="C105" s="86"/>
      <c r="D105" s="87"/>
      <c r="E105" s="88"/>
    </row>
    <row r="106" spans="2:11" ht="20.100000000000001" customHeight="1" thickBot="1" x14ac:dyDescent="0.3">
      <c r="B106" s="85"/>
      <c r="C106" s="91"/>
      <c r="D106" s="85"/>
      <c r="E106" s="92"/>
    </row>
    <row r="107" spans="2:11" ht="20.100000000000001" customHeight="1" thickBot="1" x14ac:dyDescent="0.3">
      <c r="B107" s="157" t="s">
        <v>191</v>
      </c>
      <c r="C107" s="158"/>
      <c r="D107" s="158"/>
      <c r="E107" s="159"/>
    </row>
    <row r="108" spans="2:11" ht="20.100000000000001" customHeight="1" x14ac:dyDescent="0.25">
      <c r="B108" s="10">
        <f>B104+1</f>
        <v>83</v>
      </c>
      <c r="C108" s="94" t="s">
        <v>246</v>
      </c>
      <c r="D108" s="10" t="s">
        <v>242</v>
      </c>
      <c r="E108" s="103">
        <v>5.56</v>
      </c>
    </row>
    <row r="109" spans="2:11" ht="20.100000000000001" customHeight="1" thickBot="1" x14ac:dyDescent="0.3"/>
    <row r="110" spans="2:11" ht="20.100000000000001" customHeight="1" thickBot="1" x14ac:dyDescent="0.3">
      <c r="B110" s="157" t="s">
        <v>91</v>
      </c>
      <c r="C110" s="158"/>
      <c r="D110" s="158"/>
      <c r="E110" s="159"/>
    </row>
    <row r="111" spans="2:11" ht="20.100000000000001" customHeight="1" x14ac:dyDescent="0.25">
      <c r="B111" s="3">
        <f>B108+1</f>
        <v>84</v>
      </c>
      <c r="C111" s="55" t="s">
        <v>92</v>
      </c>
      <c r="D111" s="56"/>
      <c r="E111" s="60" t="s">
        <v>122</v>
      </c>
    </row>
    <row r="112" spans="2:11" ht="20.100000000000001" customHeight="1" x14ac:dyDescent="0.25">
      <c r="B112" s="3">
        <f t="shared" ref="B112:B120" si="6">B111+1</f>
        <v>85</v>
      </c>
      <c r="C112" s="55" t="s">
        <v>93</v>
      </c>
      <c r="D112" s="56"/>
      <c r="E112" s="113" t="s">
        <v>94</v>
      </c>
    </row>
    <row r="113" spans="2:5" ht="20.100000000000001" customHeight="1" x14ac:dyDescent="0.25">
      <c r="B113" s="3">
        <f t="shared" si="6"/>
        <v>86</v>
      </c>
      <c r="C113" s="13" t="s">
        <v>95</v>
      </c>
      <c r="D113" s="14" t="s">
        <v>8</v>
      </c>
      <c r="E113" s="114" t="s">
        <v>96</v>
      </c>
    </row>
    <row r="114" spans="2:5" ht="20.100000000000001" customHeight="1" x14ac:dyDescent="0.25">
      <c r="B114" s="3">
        <f t="shared" si="6"/>
        <v>87</v>
      </c>
      <c r="C114" s="13" t="s">
        <v>97</v>
      </c>
      <c r="D114" s="14" t="s">
        <v>98</v>
      </c>
      <c r="E114" s="115" t="s">
        <v>99</v>
      </c>
    </row>
    <row r="115" spans="2:5" ht="20.100000000000001" customHeight="1" x14ac:dyDescent="0.25">
      <c r="B115" s="3">
        <f t="shared" si="6"/>
        <v>88</v>
      </c>
      <c r="C115" s="13" t="s">
        <v>100</v>
      </c>
      <c r="D115" s="14" t="s">
        <v>8</v>
      </c>
      <c r="E115" s="115" t="s">
        <v>101</v>
      </c>
    </row>
    <row r="116" spans="2:5" ht="20.100000000000001" customHeight="1" x14ac:dyDescent="0.25">
      <c r="B116" s="3">
        <f t="shared" si="6"/>
        <v>89</v>
      </c>
      <c r="C116" s="13" t="s">
        <v>102</v>
      </c>
      <c r="D116" s="14" t="s">
        <v>8</v>
      </c>
      <c r="E116" s="115" t="s">
        <v>103</v>
      </c>
    </row>
    <row r="117" spans="2:5" ht="20.100000000000001" customHeight="1" x14ac:dyDescent="0.25">
      <c r="B117" s="3">
        <f t="shared" si="6"/>
        <v>90</v>
      </c>
      <c r="C117" s="13" t="s">
        <v>104</v>
      </c>
      <c r="D117" s="14" t="s">
        <v>105</v>
      </c>
      <c r="E117" s="115" t="s">
        <v>122</v>
      </c>
    </row>
    <row r="118" spans="2:5" ht="20.100000000000001" customHeight="1" x14ac:dyDescent="0.25">
      <c r="B118" s="3">
        <f t="shared" si="6"/>
        <v>91</v>
      </c>
      <c r="C118" s="13" t="s">
        <v>205</v>
      </c>
      <c r="D118" s="14" t="s">
        <v>105</v>
      </c>
      <c r="E118" s="115" t="s">
        <v>122</v>
      </c>
    </row>
    <row r="119" spans="2:5" ht="20.100000000000001" customHeight="1" x14ac:dyDescent="0.25">
      <c r="B119" s="3">
        <f t="shared" si="6"/>
        <v>92</v>
      </c>
      <c r="C119" s="13" t="s">
        <v>106</v>
      </c>
      <c r="D119" s="14" t="s">
        <v>105</v>
      </c>
      <c r="E119" s="115" t="s">
        <v>122</v>
      </c>
    </row>
    <row r="120" spans="2:5" ht="20.100000000000001" customHeight="1" x14ac:dyDescent="0.25">
      <c r="B120" s="3">
        <f t="shared" si="6"/>
        <v>93</v>
      </c>
      <c r="C120" s="13" t="s">
        <v>107</v>
      </c>
      <c r="D120" s="14"/>
      <c r="E120" s="115"/>
    </row>
  </sheetData>
  <mergeCells count="17">
    <mergeCell ref="B3:C5"/>
    <mergeCell ref="B110:E110"/>
    <mergeCell ref="B103:E103"/>
    <mergeCell ref="B107:E107"/>
    <mergeCell ref="B99:E99"/>
    <mergeCell ref="B55:E55"/>
    <mergeCell ref="B79:E79"/>
    <mergeCell ref="B63:E63"/>
    <mergeCell ref="E3:E4"/>
    <mergeCell ref="F38:F39"/>
    <mergeCell ref="B21:E21"/>
    <mergeCell ref="B8:E9"/>
    <mergeCell ref="B10:B11"/>
    <mergeCell ref="C10:C11"/>
    <mergeCell ref="D10:D11"/>
    <mergeCell ref="E10:E11"/>
    <mergeCell ref="B12:E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88"/>
  <sheetViews>
    <sheetView tabSelected="1" zoomScaleNormal="100" workbookViewId="0">
      <selection activeCell="F85" sqref="F85"/>
    </sheetView>
  </sheetViews>
  <sheetFormatPr defaultColWidth="8.85546875" defaultRowHeight="20.100000000000001" customHeight="1" x14ac:dyDescent="0.25"/>
  <cols>
    <col min="1" max="1" width="4.85546875" style="1" customWidth="1"/>
    <col min="2" max="2" width="4.85546875" style="2" customWidth="1"/>
    <col min="3" max="3" width="62.7109375" style="1" customWidth="1"/>
    <col min="4" max="4" width="14.7109375" style="2" customWidth="1"/>
    <col min="5" max="5" width="22.7109375" style="2" customWidth="1"/>
    <col min="6" max="6" width="16.7109375" style="1" customWidth="1"/>
    <col min="7" max="7" width="14.7109375" style="1" customWidth="1"/>
    <col min="8" max="11" width="14.7109375" style="2" customWidth="1"/>
    <col min="12" max="65" width="14.7109375" style="1" customWidth="1"/>
    <col min="66" max="16384" width="8.85546875" style="1"/>
  </cols>
  <sheetData>
    <row r="2" spans="2:11" ht="20.100000000000001" customHeight="1" x14ac:dyDescent="0.25">
      <c r="B2" s="151"/>
      <c r="C2" s="166"/>
      <c r="D2" s="166"/>
      <c r="E2" s="152"/>
    </row>
    <row r="3" spans="2:11" ht="20.100000000000001" customHeight="1" x14ac:dyDescent="0.25">
      <c r="B3" s="153"/>
      <c r="C3" s="167"/>
      <c r="D3" s="167"/>
      <c r="E3" s="154"/>
    </row>
    <row r="4" spans="2:11" ht="20.100000000000001" customHeight="1" x14ac:dyDescent="0.25">
      <c r="B4" s="155"/>
      <c r="C4" s="168"/>
      <c r="D4" s="168"/>
      <c r="E4" s="156"/>
    </row>
    <row r="5" spans="2:11" ht="20.100000000000001" customHeight="1" thickBot="1" x14ac:dyDescent="0.3"/>
    <row r="6" spans="2:11" ht="20.100000000000001" customHeight="1" x14ac:dyDescent="0.25">
      <c r="B6" s="139" t="s">
        <v>128</v>
      </c>
      <c r="C6" s="140"/>
      <c r="D6" s="140"/>
      <c r="E6" s="141"/>
      <c r="F6" s="8"/>
      <c r="G6" s="112"/>
      <c r="H6" s="8"/>
      <c r="I6" s="8"/>
      <c r="J6" s="7"/>
      <c r="K6" s="7"/>
    </row>
    <row r="7" spans="2:11" ht="20.100000000000001" customHeight="1" thickBot="1" x14ac:dyDescent="0.3">
      <c r="B7" s="142"/>
      <c r="C7" s="143"/>
      <c r="D7" s="143"/>
      <c r="E7" s="144"/>
      <c r="F7" s="11"/>
      <c r="G7" s="5"/>
      <c r="H7" s="8"/>
      <c r="I7" s="8"/>
      <c r="J7" s="7"/>
      <c r="K7" s="7"/>
    </row>
    <row r="8" spans="2:11" ht="20.100000000000001" customHeight="1" x14ac:dyDescent="0.25">
      <c r="B8" s="145" t="s">
        <v>1</v>
      </c>
      <c r="C8" s="147" t="s">
        <v>0</v>
      </c>
      <c r="D8" s="145" t="s">
        <v>2</v>
      </c>
      <c r="E8" s="149" t="s">
        <v>134</v>
      </c>
      <c r="F8" s="5"/>
      <c r="G8" s="5"/>
      <c r="H8" s="8"/>
      <c r="I8" s="8"/>
      <c r="J8" s="7"/>
      <c r="K8" s="7"/>
    </row>
    <row r="9" spans="2:11" ht="20.100000000000001" customHeight="1" thickBot="1" x14ac:dyDescent="0.3">
      <c r="B9" s="146"/>
      <c r="C9" s="148"/>
      <c r="D9" s="146"/>
      <c r="E9" s="150"/>
      <c r="F9" s="5"/>
      <c r="G9" s="5"/>
      <c r="H9" s="8"/>
      <c r="I9" s="8"/>
      <c r="J9" s="7"/>
      <c r="K9" s="7"/>
    </row>
    <row r="10" spans="2:11" ht="20.100000000000001" customHeight="1" x14ac:dyDescent="0.25">
      <c r="B10" s="10">
        <v>1</v>
      </c>
      <c r="C10" s="33" t="s">
        <v>5</v>
      </c>
      <c r="D10" s="34" t="s">
        <v>66</v>
      </c>
      <c r="E10" s="35">
        <f>'Irri. Data'!E25</f>
        <v>4.4000000000000004</v>
      </c>
      <c r="F10" s="4"/>
      <c r="G10" s="4"/>
      <c r="H10" s="7"/>
      <c r="I10" s="7"/>
      <c r="J10" s="7"/>
      <c r="K10" s="7"/>
    </row>
    <row r="11" spans="2:11" ht="20.100000000000001" customHeight="1" x14ac:dyDescent="0.25">
      <c r="B11" s="10">
        <f t="shared" ref="B11:B21" si="0">B10+1</f>
        <v>2</v>
      </c>
      <c r="C11" s="33" t="s">
        <v>67</v>
      </c>
      <c r="D11" s="34" t="s">
        <v>6</v>
      </c>
      <c r="E11" s="36">
        <f>E10*10000/1000</f>
        <v>44</v>
      </c>
      <c r="F11" s="4"/>
      <c r="G11" s="4"/>
      <c r="H11" s="7"/>
      <c r="I11" s="7"/>
      <c r="J11" s="7"/>
      <c r="K11" s="7"/>
    </row>
    <row r="12" spans="2:11" ht="20.100000000000001" customHeight="1" x14ac:dyDescent="0.25">
      <c r="B12" s="10">
        <f t="shared" si="0"/>
        <v>3</v>
      </c>
      <c r="C12" s="33" t="s">
        <v>79</v>
      </c>
      <c r="D12" s="34" t="s">
        <v>13</v>
      </c>
      <c r="E12" s="37">
        <f>'Irri. Data'!E30/'Irri. Data'!E29</f>
        <v>1.1000000000000001</v>
      </c>
    </row>
    <row r="13" spans="2:11" ht="20.100000000000001" customHeight="1" x14ac:dyDescent="0.25">
      <c r="B13" s="10">
        <f t="shared" si="0"/>
        <v>4</v>
      </c>
      <c r="C13" s="33" t="s">
        <v>249</v>
      </c>
      <c r="D13" s="34" t="s">
        <v>13</v>
      </c>
      <c r="E13" s="37">
        <f>'Irri. Data'!E47/'Irri. Data'!E48</f>
        <v>0.5</v>
      </c>
    </row>
    <row r="14" spans="2:11" ht="20.100000000000001" customHeight="1" x14ac:dyDescent="0.25">
      <c r="B14" s="10">
        <f t="shared" si="0"/>
        <v>5</v>
      </c>
      <c r="C14" s="33" t="s">
        <v>145</v>
      </c>
      <c r="D14" s="34" t="s">
        <v>4</v>
      </c>
      <c r="E14" s="38">
        <f>E12*'Irri. Data'!E31</f>
        <v>0.16500000000000001</v>
      </c>
    </row>
    <row r="15" spans="2:11" ht="20.100000000000001" customHeight="1" x14ac:dyDescent="0.25">
      <c r="B15" s="10">
        <f t="shared" si="0"/>
        <v>6</v>
      </c>
      <c r="C15" s="33" t="s">
        <v>147</v>
      </c>
      <c r="D15" s="34" t="s">
        <v>146</v>
      </c>
      <c r="E15" s="42">
        <f>1/E14</f>
        <v>6.0606060606060606</v>
      </c>
    </row>
    <row r="16" spans="2:11" ht="20.100000000000001" customHeight="1" x14ac:dyDescent="0.25">
      <c r="B16" s="10">
        <f t="shared" si="0"/>
        <v>7</v>
      </c>
      <c r="C16" s="33" t="s">
        <v>116</v>
      </c>
      <c r="D16" s="34" t="s">
        <v>126</v>
      </c>
      <c r="E16" s="39">
        <f>10000*E15</f>
        <v>60606.060606060608</v>
      </c>
    </row>
    <row r="17" spans="2:8" ht="20.100000000000001" customHeight="1" x14ac:dyDescent="0.25">
      <c r="B17" s="10">
        <f t="shared" si="0"/>
        <v>8</v>
      </c>
      <c r="C17" s="33" t="s">
        <v>144</v>
      </c>
      <c r="D17" s="34" t="s">
        <v>143</v>
      </c>
      <c r="E17" s="35">
        <f>E10*E14</f>
        <v>0.72600000000000009</v>
      </c>
    </row>
    <row r="18" spans="2:8" s="2" customFormat="1" ht="20.100000000000001" customHeight="1" x14ac:dyDescent="0.25">
      <c r="B18" s="10">
        <f t="shared" si="0"/>
        <v>9</v>
      </c>
      <c r="C18" s="64" t="s">
        <v>125</v>
      </c>
      <c r="D18" s="65" t="s">
        <v>69</v>
      </c>
      <c r="E18" s="70">
        <f>'Irri. Data'!E36-('Irri. Data'!E38*25.4/1000*2)</f>
        <v>15.238</v>
      </c>
      <c r="F18" s="165" t="s">
        <v>135</v>
      </c>
      <c r="G18" s="1"/>
    </row>
    <row r="19" spans="2:8" s="2" customFormat="1" ht="20.100000000000001" customHeight="1" x14ac:dyDescent="0.25">
      <c r="B19" s="10">
        <v>8.1</v>
      </c>
      <c r="C19" s="66" t="s">
        <v>123</v>
      </c>
      <c r="D19" s="67" t="s">
        <v>69</v>
      </c>
      <c r="E19" s="68" t="e">
        <f>'Irri. Data'!E36-('Irri. Data'!E39*2)</f>
        <v>#VALUE!</v>
      </c>
      <c r="F19" s="165"/>
      <c r="G19" s="1"/>
    </row>
    <row r="20" spans="2:8" s="2" customFormat="1" ht="20.100000000000001" customHeight="1" x14ac:dyDescent="0.25">
      <c r="B20" s="10">
        <f>B18+1</f>
        <v>10</v>
      </c>
      <c r="C20" s="33" t="s">
        <v>124</v>
      </c>
      <c r="D20" s="34" t="s">
        <v>13</v>
      </c>
      <c r="E20" s="41">
        <f>'Irri. Data'!E30/'Irri. Data'!E29/'Irri. Data'!E32</f>
        <v>2.2000000000000002</v>
      </c>
      <c r="F20" s="1"/>
      <c r="G20" s="1"/>
    </row>
    <row r="21" spans="2:8" s="2" customFormat="1" ht="20.100000000000001" customHeight="1" x14ac:dyDescent="0.25">
      <c r="B21" s="10">
        <f t="shared" si="0"/>
        <v>11</v>
      </c>
      <c r="C21" s="33" t="s">
        <v>127</v>
      </c>
      <c r="D21" s="34" t="s">
        <v>112</v>
      </c>
      <c r="E21" s="39">
        <f>ROUNDUP((10000/E20),0)</f>
        <v>4546</v>
      </c>
      <c r="F21" s="1"/>
      <c r="G21" s="1"/>
    </row>
    <row r="22" spans="2:8" s="2" customFormat="1" ht="20.100000000000001" customHeight="1" x14ac:dyDescent="0.25">
      <c r="B22" s="10">
        <f t="shared" ref="B22:B38" si="1">B21+1</f>
        <v>12</v>
      </c>
      <c r="C22" s="33" t="s">
        <v>113</v>
      </c>
      <c r="D22" s="34" t="s">
        <v>114</v>
      </c>
      <c r="E22" s="39">
        <f>E21*'Irri. Data'!E24</f>
        <v>959206</v>
      </c>
      <c r="F22" s="1"/>
      <c r="G22" s="1"/>
    </row>
    <row r="23" spans="2:8" s="2" customFormat="1" ht="20.100000000000001" customHeight="1" x14ac:dyDescent="0.25">
      <c r="B23" s="10">
        <f t="shared" si="1"/>
        <v>13</v>
      </c>
      <c r="C23" s="33" t="s">
        <v>115</v>
      </c>
      <c r="D23" s="34" t="s">
        <v>117</v>
      </c>
      <c r="E23" s="39">
        <f>ROUNDUP(E22/E13,-1)</f>
        <v>1918420</v>
      </c>
      <c r="F23" s="1"/>
      <c r="G23" s="1"/>
    </row>
    <row r="24" spans="2:8" s="2" customFormat="1" ht="20.100000000000001" customHeight="1" x14ac:dyDescent="0.25">
      <c r="B24" s="10">
        <f t="shared" si="1"/>
        <v>14</v>
      </c>
      <c r="C24" s="33" t="s">
        <v>138</v>
      </c>
      <c r="D24" s="34" t="s">
        <v>117</v>
      </c>
      <c r="E24" s="39">
        <f>ROUNDUP(E22/'Irri. Data'!E49*'Irri. Data'!E50,-2)</f>
        <v>6900</v>
      </c>
      <c r="F24" s="1"/>
      <c r="G24" s="1"/>
    </row>
    <row r="25" spans="2:8" s="2" customFormat="1" ht="20.100000000000001" customHeight="1" x14ac:dyDescent="0.25">
      <c r="B25" s="10">
        <f t="shared" si="1"/>
        <v>15</v>
      </c>
      <c r="C25" s="33" t="s">
        <v>139</v>
      </c>
      <c r="D25" s="34" t="s">
        <v>117</v>
      </c>
      <c r="E25" s="39">
        <f>E24/'Irri. Data'!E50</f>
        <v>6900</v>
      </c>
      <c r="F25" s="1"/>
      <c r="G25" s="1"/>
    </row>
    <row r="26" spans="2:8" s="2" customFormat="1" ht="20.100000000000001" customHeight="1" x14ac:dyDescent="0.25">
      <c r="B26" s="10">
        <f t="shared" si="1"/>
        <v>16</v>
      </c>
      <c r="C26" s="33" t="s">
        <v>119</v>
      </c>
      <c r="D26" s="34" t="s">
        <v>117</v>
      </c>
      <c r="E26" s="39">
        <f>E24/'Irri. Data'!E50</f>
        <v>6900</v>
      </c>
      <c r="F26" s="1"/>
      <c r="G26" s="1"/>
    </row>
    <row r="27" spans="2:8" s="2" customFormat="1" ht="20.100000000000001" customHeight="1" x14ac:dyDescent="0.25">
      <c r="B27" s="10">
        <f t="shared" si="1"/>
        <v>17</v>
      </c>
      <c r="C27" s="33" t="s">
        <v>80</v>
      </c>
      <c r="D27" s="34" t="s">
        <v>4</v>
      </c>
      <c r="E27" s="41">
        <f>E20*'Irri. Data'!E47</f>
        <v>1.1000000000000001</v>
      </c>
      <c r="F27" s="1"/>
      <c r="G27" s="1"/>
    </row>
    <row r="28" spans="2:8" s="2" customFormat="1" ht="20.100000000000001" customHeight="1" x14ac:dyDescent="0.25">
      <c r="B28" s="10">
        <f t="shared" si="1"/>
        <v>18</v>
      </c>
      <c r="C28" s="33" t="s">
        <v>37</v>
      </c>
      <c r="D28" s="34" t="s">
        <v>17</v>
      </c>
      <c r="E28" s="42">
        <f>'Irri. Data'!E45/E27</f>
        <v>1.4545454545454546</v>
      </c>
      <c r="F28" s="1"/>
      <c r="G28" s="1"/>
    </row>
    <row r="29" spans="2:8" s="2" customFormat="1" ht="20.100000000000001" customHeight="1" x14ac:dyDescent="0.25">
      <c r="B29" s="10">
        <f t="shared" si="1"/>
        <v>19</v>
      </c>
      <c r="C29" s="33" t="s">
        <v>29</v>
      </c>
      <c r="D29" s="34" t="s">
        <v>15</v>
      </c>
      <c r="E29" s="42">
        <f>E28</f>
        <v>1.4545454545454546</v>
      </c>
      <c r="F29" s="1"/>
      <c r="G29" s="1"/>
    </row>
    <row r="30" spans="2:8" s="2" customFormat="1" ht="20.100000000000001" customHeight="1" x14ac:dyDescent="0.25">
      <c r="B30" s="10">
        <f t="shared" si="1"/>
        <v>20</v>
      </c>
      <c r="C30" s="33" t="s">
        <v>38</v>
      </c>
      <c r="D30" s="34" t="s">
        <v>16</v>
      </c>
      <c r="E30" s="40">
        <f>E29*10</f>
        <v>14.545454545454547</v>
      </c>
      <c r="F30" s="1"/>
      <c r="G30" s="1"/>
    </row>
    <row r="31" spans="2:8" s="2" customFormat="1" ht="20.100000000000001" customHeight="1" x14ac:dyDescent="0.25">
      <c r="B31" s="10">
        <f t="shared" si="1"/>
        <v>21</v>
      </c>
      <c r="C31" s="33" t="s">
        <v>30</v>
      </c>
      <c r="D31" s="34" t="s">
        <v>12</v>
      </c>
      <c r="E31" s="43">
        <f>E10/E29</f>
        <v>3.0250000000000004</v>
      </c>
      <c r="F31" s="1"/>
      <c r="G31" s="1"/>
      <c r="H31" s="9"/>
    </row>
    <row r="32" spans="2:8" s="2" customFormat="1" ht="20.100000000000001" customHeight="1" x14ac:dyDescent="0.25">
      <c r="B32" s="10">
        <f t="shared" si="1"/>
        <v>22</v>
      </c>
      <c r="C32" s="33" t="s">
        <v>39</v>
      </c>
      <c r="D32" s="34" t="s">
        <v>130</v>
      </c>
      <c r="E32" s="44">
        <f>ROUNDDOWN('Irri. Data'!E26/E31,0)</f>
        <v>6</v>
      </c>
      <c r="F32" s="1"/>
      <c r="G32" s="1"/>
    </row>
    <row r="33" spans="2:7" s="2" customFormat="1" ht="20.100000000000001" customHeight="1" x14ac:dyDescent="0.25">
      <c r="B33" s="10">
        <f t="shared" si="1"/>
        <v>23</v>
      </c>
      <c r="C33" s="33" t="s">
        <v>40</v>
      </c>
      <c r="D33" s="34" t="s">
        <v>217</v>
      </c>
      <c r="E33" s="41">
        <f>E32*E31</f>
        <v>18.150000000000002</v>
      </c>
      <c r="F33" s="1"/>
      <c r="G33" s="1"/>
    </row>
    <row r="34" spans="2:7" s="2" customFormat="1" ht="20.100000000000001" customHeight="1" x14ac:dyDescent="0.25">
      <c r="B34" s="10">
        <f t="shared" si="1"/>
        <v>24</v>
      </c>
      <c r="C34" s="33" t="s">
        <v>216</v>
      </c>
      <c r="D34" s="34" t="s">
        <v>117</v>
      </c>
      <c r="E34" s="44">
        <f>7/'Irri. Data'!E27</f>
        <v>1</v>
      </c>
      <c r="F34" s="1"/>
      <c r="G34" s="1"/>
    </row>
    <row r="35" spans="2:7" s="2" customFormat="1" ht="20.100000000000001" customHeight="1" x14ac:dyDescent="0.25">
      <c r="B35" s="10">
        <f t="shared" si="1"/>
        <v>25</v>
      </c>
      <c r="C35" s="52" t="s">
        <v>213</v>
      </c>
      <c r="D35" s="34" t="s">
        <v>133</v>
      </c>
      <c r="E35" s="50">
        <f>'Irri. Data'!E27*'Irri. Data'!E28</f>
        <v>196</v>
      </c>
      <c r="F35" s="1"/>
      <c r="G35" s="1"/>
    </row>
    <row r="36" spans="2:7" s="2" customFormat="1" ht="20.100000000000001" customHeight="1" x14ac:dyDescent="0.25">
      <c r="B36" s="10">
        <f t="shared" si="1"/>
        <v>26</v>
      </c>
      <c r="C36" s="52" t="s">
        <v>76</v>
      </c>
      <c r="D36" s="34" t="s">
        <v>77</v>
      </c>
      <c r="E36" s="50">
        <f>E33*E35</f>
        <v>3557.4000000000005</v>
      </c>
      <c r="F36" s="1"/>
      <c r="G36" s="1"/>
    </row>
    <row r="37" spans="2:7" s="2" customFormat="1" ht="20.100000000000001" customHeight="1" x14ac:dyDescent="0.25">
      <c r="B37" s="10">
        <f t="shared" si="1"/>
        <v>27</v>
      </c>
      <c r="C37" s="45" t="s">
        <v>111</v>
      </c>
      <c r="D37" s="46" t="s">
        <v>25</v>
      </c>
      <c r="E37" s="47">
        <f>'Irri. Data'!E24*E30/Result!E32</f>
        <v>511.51515151515156</v>
      </c>
      <c r="F37" s="1"/>
      <c r="G37" s="1"/>
    </row>
    <row r="38" spans="2:7" s="2" customFormat="1" ht="20.100000000000001" customHeight="1" x14ac:dyDescent="0.25">
      <c r="B38" s="10">
        <f t="shared" si="1"/>
        <v>28</v>
      </c>
      <c r="C38" s="33" t="s">
        <v>109</v>
      </c>
      <c r="D38" s="34" t="s">
        <v>2</v>
      </c>
      <c r="E38" s="39">
        <f>'Irri. Data'!E24/'Irri. Data'!E52</f>
        <v>26.375</v>
      </c>
      <c r="F38" s="1"/>
      <c r="G38" s="1"/>
    </row>
    <row r="39" spans="2:7" s="2" customFormat="1" ht="20.100000000000001" customHeight="1" thickBot="1" x14ac:dyDescent="0.3">
      <c r="B39" s="81"/>
      <c r="C39" s="95"/>
      <c r="D39" s="96"/>
      <c r="E39" s="97"/>
      <c r="F39" s="1"/>
      <c r="G39" s="1"/>
    </row>
    <row r="40" spans="2:7" ht="20.100000000000001" customHeight="1" thickBot="1" x14ac:dyDescent="0.3">
      <c r="B40" s="157" t="s">
        <v>177</v>
      </c>
      <c r="C40" s="158"/>
      <c r="D40" s="158"/>
      <c r="E40" s="159"/>
    </row>
    <row r="41" spans="2:7" ht="20.100000000000001" customHeight="1" x14ac:dyDescent="0.25">
      <c r="B41" s="3">
        <f>B38+1</f>
        <v>29</v>
      </c>
      <c r="C41" s="49" t="s">
        <v>53</v>
      </c>
      <c r="D41" s="34" t="s">
        <v>25</v>
      </c>
      <c r="E41" s="50">
        <f>ROUNDUP('Irri. Data'!E24*E30/E32,0)</f>
        <v>512</v>
      </c>
    </row>
    <row r="42" spans="2:7" ht="20.100000000000001" customHeight="1" x14ac:dyDescent="0.25">
      <c r="B42" s="3">
        <f>B41+1</f>
        <v>30</v>
      </c>
      <c r="C42" s="33" t="s">
        <v>41</v>
      </c>
      <c r="D42" s="46" t="s">
        <v>117</v>
      </c>
      <c r="E42" s="36">
        <v>2</v>
      </c>
    </row>
    <row r="43" spans="2:7" ht="20.100000000000001" customHeight="1" x14ac:dyDescent="0.25">
      <c r="B43" s="3">
        <f>B42+1</f>
        <v>31</v>
      </c>
      <c r="C43" s="49" t="s">
        <v>54</v>
      </c>
      <c r="D43" s="34" t="s">
        <v>25</v>
      </c>
      <c r="E43" s="50">
        <f>ROUNDUP(E41/E42,0)</f>
        <v>256</v>
      </c>
    </row>
    <row r="44" spans="2:7" ht="20.100000000000001" customHeight="1" x14ac:dyDescent="0.25">
      <c r="B44" s="3">
        <f t="shared" ref="B44:B46" si="2">B43+1</f>
        <v>32</v>
      </c>
      <c r="C44" s="49" t="s">
        <v>232</v>
      </c>
      <c r="D44" s="34" t="s">
        <v>20</v>
      </c>
      <c r="E44" s="126">
        <f>'Irri. Data'!E69/10</f>
        <v>10.1325</v>
      </c>
    </row>
    <row r="45" spans="2:7" ht="20.100000000000001" customHeight="1" x14ac:dyDescent="0.25">
      <c r="B45" s="3">
        <f t="shared" si="2"/>
        <v>33</v>
      </c>
      <c r="C45" s="49" t="s">
        <v>227</v>
      </c>
      <c r="D45" s="106" t="s">
        <v>20</v>
      </c>
      <c r="E45" s="126">
        <f>E44-('Irri. Data'!E70*0.001155432)</f>
        <v>10.08628272</v>
      </c>
    </row>
    <row r="46" spans="2:7" ht="20.100000000000001" customHeight="1" x14ac:dyDescent="0.25">
      <c r="B46" s="3">
        <f t="shared" si="2"/>
        <v>34</v>
      </c>
      <c r="C46" s="49" t="s">
        <v>156</v>
      </c>
      <c r="D46" s="34" t="s">
        <v>13</v>
      </c>
      <c r="E46" s="73">
        <f>E45-('Irri. Data'!E86+'Irri. Data'!E68+'Irri. Data'!E83+'Irri. Data'!E85)</f>
        <v>4.28628272</v>
      </c>
      <c r="F46" s="18"/>
    </row>
    <row r="47" spans="2:7" ht="20.100000000000001" customHeight="1" x14ac:dyDescent="0.25">
      <c r="B47" s="3">
        <f t="shared" ref="B47" si="3">B46+1</f>
        <v>35</v>
      </c>
      <c r="C47" s="49" t="s">
        <v>132</v>
      </c>
      <c r="D47" s="34" t="s">
        <v>20</v>
      </c>
      <c r="E47" s="39">
        <f>'Irri. Data'!E83+'Irri. Data'!E84</f>
        <v>42.8</v>
      </c>
    </row>
    <row r="48" spans="2:7" ht="20.100000000000001" customHeight="1" x14ac:dyDescent="0.25">
      <c r="B48" s="3">
        <f t="shared" ref="B48:B52" si="4">B47+1</f>
        <v>36</v>
      </c>
      <c r="C48" s="49" t="s">
        <v>192</v>
      </c>
      <c r="D48" s="106" t="s">
        <v>13</v>
      </c>
      <c r="E48" s="107">
        <f>'Irri. Data'!E72-'Irri. Data'!E70</f>
        <v>15</v>
      </c>
    </row>
    <row r="49" spans="2:7" ht="20.100000000000001" customHeight="1" x14ac:dyDescent="0.25">
      <c r="B49" s="3">
        <f t="shared" si="4"/>
        <v>37</v>
      </c>
      <c r="C49" s="33" t="s">
        <v>70</v>
      </c>
      <c r="D49" s="34" t="s">
        <v>20</v>
      </c>
      <c r="E49" s="39">
        <f>'Irri. Data'!E44+E48+E47</f>
        <v>58.599999999999994</v>
      </c>
    </row>
    <row r="50" spans="2:7" ht="20.100000000000001" customHeight="1" x14ac:dyDescent="0.25">
      <c r="B50" s="3">
        <f t="shared" si="4"/>
        <v>38</v>
      </c>
      <c r="C50" s="33" t="s">
        <v>26</v>
      </c>
      <c r="D50" s="34" t="s">
        <v>27</v>
      </c>
      <c r="E50" s="35">
        <f>(E49-5)/10</f>
        <v>5.3599999999999994</v>
      </c>
    </row>
    <row r="51" spans="2:7" ht="20.100000000000001" customHeight="1" x14ac:dyDescent="0.25">
      <c r="B51" s="3">
        <f t="shared" si="4"/>
        <v>39</v>
      </c>
      <c r="C51" s="33" t="s">
        <v>57</v>
      </c>
      <c r="D51" s="34" t="s">
        <v>55</v>
      </c>
      <c r="E51" s="36">
        <f>ROUNDUP(E43*E49/360,0)</f>
        <v>42</v>
      </c>
    </row>
    <row r="52" spans="2:7" ht="20.100000000000001" customHeight="1" x14ac:dyDescent="0.25">
      <c r="B52" s="3">
        <f t="shared" si="4"/>
        <v>40</v>
      </c>
      <c r="C52" s="33" t="s">
        <v>184</v>
      </c>
      <c r="D52" s="34" t="s">
        <v>141</v>
      </c>
      <c r="E52" s="36">
        <f>ROUNDUP(E51*1.334,0)</f>
        <v>57</v>
      </c>
    </row>
    <row r="53" spans="2:7" ht="20.100000000000001" customHeight="1" thickBot="1" x14ac:dyDescent="0.3">
      <c r="B53" s="81"/>
      <c r="C53" s="95"/>
      <c r="D53" s="96"/>
      <c r="E53" s="105"/>
    </row>
    <row r="54" spans="2:7" ht="20.100000000000001" customHeight="1" thickBot="1" x14ac:dyDescent="0.3">
      <c r="B54" s="157" t="s">
        <v>176</v>
      </c>
      <c r="C54" s="158"/>
      <c r="D54" s="158"/>
      <c r="E54" s="159"/>
    </row>
    <row r="55" spans="2:7" ht="20.100000000000001" customHeight="1" x14ac:dyDescent="0.25">
      <c r="B55" s="3">
        <f>B52+1</f>
        <v>41</v>
      </c>
      <c r="C55" s="49" t="s">
        <v>178</v>
      </c>
      <c r="D55" s="34" t="s">
        <v>55</v>
      </c>
      <c r="E55" s="51">
        <f>ROUNDUP(E51/'Irri. Data'!E93/'Irri. Data'!E94*10000,0)</f>
        <v>65</v>
      </c>
    </row>
    <row r="56" spans="2:7" ht="20.100000000000001" customHeight="1" x14ac:dyDescent="0.25">
      <c r="B56" s="3">
        <f t="shared" ref="B56:B59" si="5">B55+1</f>
        <v>42</v>
      </c>
      <c r="C56" s="74" t="s">
        <v>157</v>
      </c>
      <c r="D56" s="75" t="s">
        <v>55</v>
      </c>
      <c r="E56" s="76">
        <v>55</v>
      </c>
      <c r="F56" s="77" t="s">
        <v>131</v>
      </c>
      <c r="G56" s="20"/>
    </row>
    <row r="57" spans="2:7" ht="20.100000000000001" customHeight="1" x14ac:dyDescent="0.25">
      <c r="B57" s="3">
        <f t="shared" si="5"/>
        <v>43</v>
      </c>
      <c r="C57" s="49" t="s">
        <v>179</v>
      </c>
      <c r="D57" s="71" t="s">
        <v>141</v>
      </c>
      <c r="E57" s="51">
        <f>ROUNDUP(E56*1.333,0)</f>
        <v>74</v>
      </c>
      <c r="F57" s="19"/>
      <c r="G57" s="20"/>
    </row>
    <row r="58" spans="2:7" ht="20.100000000000001" customHeight="1" x14ac:dyDescent="0.25">
      <c r="B58" s="3">
        <f t="shared" si="5"/>
        <v>44</v>
      </c>
      <c r="C58" s="49" t="s">
        <v>180</v>
      </c>
      <c r="D58" s="71" t="s">
        <v>142</v>
      </c>
      <c r="E58" s="72">
        <f>ROUNDUP(E57*1.3,-0.5)</f>
        <v>97</v>
      </c>
      <c r="F58" s="19"/>
      <c r="G58" s="20"/>
    </row>
    <row r="59" spans="2:7" ht="20.100000000000001" customHeight="1" x14ac:dyDescent="0.25">
      <c r="B59" s="3">
        <f t="shared" si="5"/>
        <v>45</v>
      </c>
      <c r="C59" s="52" t="s">
        <v>181</v>
      </c>
      <c r="D59" s="34" t="s">
        <v>75</v>
      </c>
      <c r="E59" s="50">
        <f>E56</f>
        <v>55</v>
      </c>
    </row>
    <row r="60" spans="2:7" ht="20.100000000000001" customHeight="1" thickBot="1" x14ac:dyDescent="0.3">
      <c r="B60" s="81"/>
      <c r="C60" s="95"/>
      <c r="D60" s="96"/>
      <c r="E60" s="97"/>
    </row>
    <row r="61" spans="2:7" ht="20.100000000000001" customHeight="1" thickBot="1" x14ac:dyDescent="0.3">
      <c r="B61" s="157" t="s">
        <v>175</v>
      </c>
      <c r="C61" s="158"/>
      <c r="D61" s="158"/>
      <c r="E61" s="159"/>
    </row>
    <row r="62" spans="2:7" ht="20.100000000000001" customHeight="1" x14ac:dyDescent="0.25">
      <c r="B62" s="10">
        <f>B59+1</f>
        <v>46</v>
      </c>
      <c r="C62" s="33" t="s">
        <v>64</v>
      </c>
      <c r="D62" s="34" t="s">
        <v>173</v>
      </c>
      <c r="E62" s="39">
        <f>ROUNDUP(E56*1.6,-1)*E42</f>
        <v>180</v>
      </c>
    </row>
    <row r="63" spans="2:7" ht="20.100000000000001" customHeight="1" thickBot="1" x14ac:dyDescent="0.3">
      <c r="B63" s="81"/>
      <c r="C63" s="95"/>
      <c r="D63" s="96"/>
      <c r="E63" s="97"/>
    </row>
    <row r="64" spans="2:7" ht="20.100000000000001" customHeight="1" thickBot="1" x14ac:dyDescent="0.3">
      <c r="B64" s="157" t="s">
        <v>185</v>
      </c>
      <c r="C64" s="158"/>
      <c r="D64" s="158"/>
      <c r="E64" s="159"/>
    </row>
    <row r="65" spans="2:11" ht="20.100000000000001" customHeight="1" x14ac:dyDescent="0.25">
      <c r="B65" s="3">
        <f>B62+1</f>
        <v>47</v>
      </c>
      <c r="C65" s="49" t="s">
        <v>182</v>
      </c>
      <c r="D65" s="34" t="s">
        <v>141</v>
      </c>
      <c r="E65" s="51">
        <f>ROUNDUP(E52/'Irri. Data'!E93/'Irri. Data'!E95*10000,0)</f>
        <v>108</v>
      </c>
    </row>
    <row r="66" spans="2:11" ht="20.100000000000001" customHeight="1" x14ac:dyDescent="0.25">
      <c r="B66" s="3">
        <f t="shared" ref="B66:B67" si="6">B65+1</f>
        <v>48</v>
      </c>
      <c r="C66" s="74" t="s">
        <v>183</v>
      </c>
      <c r="D66" s="75" t="s">
        <v>141</v>
      </c>
      <c r="E66" s="76">
        <v>100</v>
      </c>
      <c r="F66" s="77" t="s">
        <v>131</v>
      </c>
    </row>
    <row r="67" spans="2:11" ht="20.100000000000001" customHeight="1" x14ac:dyDescent="0.25">
      <c r="B67" s="3">
        <f t="shared" si="6"/>
        <v>49</v>
      </c>
      <c r="C67" s="52" t="s">
        <v>186</v>
      </c>
      <c r="D67" s="34" t="s">
        <v>187</v>
      </c>
      <c r="E67" s="50">
        <f>E66</f>
        <v>100</v>
      </c>
    </row>
    <row r="68" spans="2:11" ht="20.100000000000001" customHeight="1" x14ac:dyDescent="0.25">
      <c r="B68" s="81"/>
      <c r="C68" s="95"/>
      <c r="D68" s="96"/>
      <c r="E68" s="97"/>
    </row>
    <row r="69" spans="2:11" ht="20.100000000000001" customHeight="1" thickBot="1" x14ac:dyDescent="0.3">
      <c r="B69" s="81"/>
      <c r="C69" s="95"/>
      <c r="D69" s="96"/>
      <c r="E69" s="97"/>
    </row>
    <row r="70" spans="2:11" ht="20.100000000000001" customHeight="1" x14ac:dyDescent="0.25">
      <c r="B70" s="169" t="s">
        <v>172</v>
      </c>
      <c r="C70" s="170"/>
      <c r="D70" s="170"/>
      <c r="E70" s="171"/>
    </row>
    <row r="71" spans="2:11" ht="20.100000000000001" customHeight="1" thickBot="1" x14ac:dyDescent="0.3">
      <c r="B71" s="172"/>
      <c r="C71" s="173"/>
      <c r="D71" s="173"/>
      <c r="E71" s="174"/>
    </row>
    <row r="72" spans="2:11" s="91" customFormat="1" ht="20.100000000000001" customHeight="1" x14ac:dyDescent="0.25">
      <c r="B72" s="102"/>
      <c r="C72" s="102"/>
      <c r="D72" s="102"/>
      <c r="E72" s="102"/>
      <c r="H72" s="85"/>
      <c r="I72" s="85"/>
      <c r="J72" s="85"/>
      <c r="K72" s="85"/>
    </row>
    <row r="73" spans="2:11" s="101" customFormat="1" ht="20.100000000000001" customHeight="1" thickBot="1" x14ac:dyDescent="0.3">
      <c r="B73" s="98"/>
      <c r="C73" s="99"/>
      <c r="D73" s="85"/>
      <c r="E73" s="100"/>
      <c r="H73" s="98"/>
      <c r="I73" s="98"/>
      <c r="J73" s="98"/>
      <c r="K73" s="98"/>
    </row>
    <row r="74" spans="2:11" ht="20.100000000000001" customHeight="1" thickBot="1" x14ac:dyDescent="0.3">
      <c r="B74" s="157" t="s">
        <v>164</v>
      </c>
      <c r="C74" s="158"/>
      <c r="D74" s="158"/>
      <c r="E74" s="159"/>
      <c r="F74" s="19"/>
    </row>
    <row r="75" spans="2:11" ht="20.100000000000001" customHeight="1" thickBot="1" x14ac:dyDescent="0.3">
      <c r="B75" s="12" t="s">
        <v>169</v>
      </c>
      <c r="C75" s="53" t="s">
        <v>78</v>
      </c>
      <c r="D75" s="46" t="s">
        <v>195</v>
      </c>
      <c r="E75" s="54">
        <f>E36*E59*E42</f>
        <v>391314.00000000006</v>
      </c>
    </row>
    <row r="76" spans="2:11" ht="20.100000000000001" customHeight="1" thickBot="1" x14ac:dyDescent="0.3">
      <c r="B76" s="93"/>
      <c r="C76" s="80" t="s">
        <v>166</v>
      </c>
      <c r="D76" s="15" t="s">
        <v>275</v>
      </c>
      <c r="E76" s="16">
        <f>E75*'Irri. Data'!E100</f>
        <v>489142500.00000006</v>
      </c>
      <c r="I76" s="84"/>
    </row>
    <row r="77" spans="2:11" s="89" customFormat="1" ht="20.100000000000001" customHeight="1" x14ac:dyDescent="0.25">
      <c r="B77" s="85"/>
      <c r="C77" s="86"/>
      <c r="D77" s="87"/>
      <c r="E77" s="88"/>
      <c r="H77" s="90"/>
      <c r="I77" s="90"/>
      <c r="J77" s="90"/>
      <c r="K77" s="90"/>
    </row>
    <row r="78" spans="2:11" s="89" customFormat="1" ht="20.100000000000001" customHeight="1" thickBot="1" x14ac:dyDescent="0.3">
      <c r="B78" s="90"/>
      <c r="D78" s="90"/>
      <c r="E78" s="90"/>
      <c r="H78" s="90"/>
      <c r="I78" s="90"/>
      <c r="J78" s="90"/>
      <c r="K78" s="90"/>
    </row>
    <row r="79" spans="2:11" ht="20.100000000000001" customHeight="1" thickBot="1" x14ac:dyDescent="0.3">
      <c r="B79" s="157" t="s">
        <v>165</v>
      </c>
      <c r="C79" s="158"/>
      <c r="D79" s="158"/>
      <c r="E79" s="159"/>
    </row>
    <row r="80" spans="2:11" ht="20.100000000000001" customHeight="1" x14ac:dyDescent="0.25">
      <c r="B80" s="12" t="s">
        <v>170</v>
      </c>
      <c r="C80" s="111" t="s">
        <v>194</v>
      </c>
      <c r="D80" s="110" t="s">
        <v>193</v>
      </c>
      <c r="E80" s="50">
        <f>E36*E62</f>
        <v>640332.00000000012</v>
      </c>
    </row>
    <row r="81" spans="2:11" ht="20.100000000000001" customHeight="1" thickBot="1" x14ac:dyDescent="0.3">
      <c r="B81" s="6" t="s">
        <v>170</v>
      </c>
      <c r="C81" s="53" t="s">
        <v>78</v>
      </c>
      <c r="D81" s="46" t="s">
        <v>196</v>
      </c>
      <c r="E81" s="54">
        <f>E80/'Irri. Data'!E104</f>
        <v>128066.40000000002</v>
      </c>
    </row>
    <row r="82" spans="2:11" ht="20.100000000000001" customHeight="1" thickBot="1" x14ac:dyDescent="0.3">
      <c r="B82" s="93"/>
      <c r="C82" s="80" t="s">
        <v>168</v>
      </c>
      <c r="D82" s="15" t="s">
        <v>275</v>
      </c>
      <c r="E82" s="16">
        <f>E81*'Irri. Data'!E101</f>
        <v>1152597600.0000002</v>
      </c>
    </row>
    <row r="83" spans="2:11" s="91" customFormat="1" ht="20.100000000000001" customHeight="1" x14ac:dyDescent="0.25">
      <c r="B83" s="85"/>
      <c r="C83" s="86"/>
      <c r="D83" s="87"/>
      <c r="E83" s="88"/>
      <c r="H83" s="85"/>
      <c r="I83" s="85"/>
      <c r="J83" s="85"/>
      <c r="K83" s="85"/>
    </row>
    <row r="84" spans="2:11" s="91" customFormat="1" ht="20.100000000000001" customHeight="1" thickBot="1" x14ac:dyDescent="0.3">
      <c r="B84" s="85"/>
      <c r="D84" s="85"/>
      <c r="E84" s="92"/>
      <c r="H84" s="85"/>
      <c r="I84" s="85"/>
      <c r="J84" s="85"/>
      <c r="K84" s="85"/>
    </row>
    <row r="85" spans="2:11" ht="20.100000000000001" customHeight="1" thickBot="1" x14ac:dyDescent="0.3">
      <c r="B85" s="157" t="s">
        <v>190</v>
      </c>
      <c r="C85" s="158"/>
      <c r="D85" s="158"/>
      <c r="E85" s="159"/>
    </row>
    <row r="86" spans="2:11" ht="20.100000000000001" customHeight="1" thickBot="1" x14ac:dyDescent="0.3">
      <c r="B86" s="10" t="s">
        <v>171</v>
      </c>
      <c r="C86" s="79" t="s">
        <v>78</v>
      </c>
      <c r="D86" s="46" t="s">
        <v>196</v>
      </c>
      <c r="E86" s="48">
        <f>E36*E66*E42/'Irri. Data'!E108</f>
        <v>127964.02877697845</v>
      </c>
    </row>
    <row r="87" spans="2:11" ht="20.100000000000001" customHeight="1" thickBot="1" x14ac:dyDescent="0.3">
      <c r="B87" s="93"/>
      <c r="C87" s="80" t="s">
        <v>167</v>
      </c>
      <c r="D87" s="15" t="s">
        <v>275</v>
      </c>
      <c r="E87" s="16">
        <f>E86*'Irri. Data'!E101</f>
        <v>1151676258.992806</v>
      </c>
    </row>
    <row r="88" spans="2:11" ht="20.100000000000001" customHeight="1" x14ac:dyDescent="0.25">
      <c r="E88" s="175"/>
    </row>
  </sheetData>
  <mergeCells count="15">
    <mergeCell ref="B2:E4"/>
    <mergeCell ref="B79:E79"/>
    <mergeCell ref="B85:E85"/>
    <mergeCell ref="B70:E71"/>
    <mergeCell ref="B61:E61"/>
    <mergeCell ref="B64:E64"/>
    <mergeCell ref="F18:F19"/>
    <mergeCell ref="B40:E40"/>
    <mergeCell ref="B74:E74"/>
    <mergeCell ref="B6:E7"/>
    <mergeCell ref="B8:B9"/>
    <mergeCell ref="C8:C9"/>
    <mergeCell ref="D8:D9"/>
    <mergeCell ref="E8:E9"/>
    <mergeCell ref="B54:E5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Irri. Data</vt:lpstr>
      <vt:lpstr>Result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Yair Kizner</dc:creator>
  <cp:lastModifiedBy>PETRUS</cp:lastModifiedBy>
  <dcterms:created xsi:type="dcterms:W3CDTF">2012-12-08T06:26:18Z</dcterms:created>
  <dcterms:modified xsi:type="dcterms:W3CDTF">2018-03-29T03:29:44Z</dcterms:modified>
</cp:coreProperties>
</file>